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CA2F852-D4C1-4F39-94CB-E898A60E23E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2" l="1"/>
  <c r="D46" i="2" s="1"/>
  <c r="D43" i="2"/>
  <c r="C41" i="2"/>
  <c r="F41" i="2" s="1"/>
  <c r="F40" i="2"/>
  <c r="C40" i="2"/>
  <c r="E40" i="2" s="1"/>
  <c r="F39" i="2"/>
  <c r="E39" i="2"/>
  <c r="D39" i="2"/>
  <c r="F38" i="2"/>
  <c r="F37" i="2"/>
  <c r="C35" i="2"/>
  <c r="F35" i="2" s="1"/>
  <c r="F34" i="2"/>
  <c r="C33" i="2"/>
  <c r="F33" i="2" s="1"/>
  <c r="D32" i="2"/>
  <c r="F32" i="2" s="1"/>
  <c r="C32" i="2"/>
  <c r="C31" i="2"/>
  <c r="F31" i="2" s="1"/>
  <c r="F30" i="2"/>
  <c r="C30" i="2"/>
  <c r="E30" i="2" s="1"/>
  <c r="F29" i="2"/>
  <c r="E29" i="2"/>
  <c r="C29" i="2"/>
  <c r="F28" i="2"/>
  <c r="F27" i="2"/>
  <c r="E27" i="2"/>
  <c r="C27" i="2"/>
  <c r="D26" i="2"/>
  <c r="D25" i="2" s="1"/>
  <c r="C26" i="2"/>
  <c r="C25" i="2" s="1"/>
  <c r="C24" i="2" s="1"/>
  <c r="C22" i="2"/>
  <c r="F22" i="2" s="1"/>
  <c r="C21" i="2"/>
  <c r="F21" i="2" s="1"/>
  <c r="F20" i="2"/>
  <c r="E20" i="2"/>
  <c r="C20" i="2"/>
  <c r="F19" i="2"/>
  <c r="E19" i="2"/>
  <c r="D19" i="2"/>
  <c r="C19" i="2"/>
  <c r="F18" i="2"/>
  <c r="E18" i="2"/>
  <c r="C18" i="2"/>
  <c r="C17" i="2"/>
  <c r="F17" i="2" s="1"/>
  <c r="D16" i="2"/>
  <c r="F16" i="2" s="1"/>
  <c r="C16" i="2"/>
  <c r="D15" i="2"/>
  <c r="F15" i="2" s="1"/>
  <c r="C15" i="2"/>
  <c r="D14" i="2"/>
  <c r="D13" i="2" s="1"/>
  <c r="C14" i="2"/>
  <c r="C13" i="2" s="1"/>
  <c r="C12" i="2" s="1"/>
  <c r="D11" i="2"/>
  <c r="C10" i="2"/>
  <c r="C11" i="2" s="1"/>
  <c r="F9" i="2"/>
  <c r="E9" i="2"/>
  <c r="C9" i="2"/>
  <c r="D8" i="2"/>
  <c r="F7" i="2"/>
  <c r="E7" i="2"/>
  <c r="C7" i="2"/>
  <c r="C6" i="2" s="1"/>
  <c r="C42" i="2" s="1"/>
  <c r="D6" i="2"/>
  <c r="F6" i="2" s="1"/>
  <c r="F13" i="2" l="1"/>
  <c r="E13" i="2"/>
  <c r="C44" i="2"/>
  <c r="C45" i="2"/>
  <c r="F42" i="2"/>
  <c r="E42" i="2"/>
  <c r="F11" i="2"/>
  <c r="D24" i="2"/>
  <c r="F25" i="2"/>
  <c r="E25" i="2"/>
  <c r="E26" i="2"/>
  <c r="C8" i="2"/>
  <c r="E10" i="2"/>
  <c r="E14" i="2"/>
  <c r="E16" i="2"/>
  <c r="E21" i="2"/>
  <c r="F26" i="2"/>
  <c r="E32" i="2"/>
  <c r="E35" i="2"/>
  <c r="F10" i="2"/>
  <c r="F14" i="2"/>
  <c r="E6" i="2"/>
  <c r="E17" i="2"/>
  <c r="E22" i="2"/>
  <c r="E33" i="2"/>
  <c r="F45" i="2"/>
  <c r="E11" i="2"/>
  <c r="E15" i="2"/>
  <c r="E31" i="2"/>
  <c r="E41" i="2"/>
  <c r="E8" i="2" l="1"/>
  <c r="F8" i="2"/>
  <c r="E44" i="2"/>
  <c r="C43" i="2"/>
  <c r="F44" i="2"/>
  <c r="C46" i="2"/>
  <c r="E46" i="2" s="1"/>
  <c r="E45" i="2"/>
  <c r="F24" i="2"/>
  <c r="E24" i="2"/>
  <c r="D12" i="2"/>
  <c r="F12" i="2" l="1"/>
  <c r="E12" i="2"/>
  <c r="F43" i="2"/>
  <c r="E43" i="2"/>
</calcChain>
</file>

<file path=xl/sharedStrings.xml><?xml version="1.0" encoding="utf-8"?>
<sst xmlns="http://schemas.openxmlformats.org/spreadsheetml/2006/main" count="68" uniqueCount="67">
  <si>
    <t>ИСПОЛНЕНИЕ БАЛАНСА (прогноз)</t>
  </si>
  <si>
    <t>за 2022 год по АО "Бухоронефтгазавтонакл"</t>
  </si>
  <si>
    <t>(млн..сум)</t>
  </si>
  <si>
    <t>№</t>
  </si>
  <si>
    <t xml:space="preserve">Показатели баланса </t>
  </si>
  <si>
    <t>План</t>
  </si>
  <si>
    <t>Факт</t>
  </si>
  <si>
    <t>%</t>
  </si>
  <si>
    <t>Отклонение</t>
  </si>
  <si>
    <t>п/п</t>
  </si>
  <si>
    <t>доходов и расходов</t>
  </si>
  <si>
    <t>( + , - )</t>
  </si>
  <si>
    <t>Доходы всего:</t>
  </si>
  <si>
    <t xml:space="preserve"> 1.1</t>
  </si>
  <si>
    <t>Товарная продукция без налогов</t>
  </si>
  <si>
    <t xml:space="preserve"> 1.2</t>
  </si>
  <si>
    <t>Налог на добавл.стоимость</t>
  </si>
  <si>
    <t xml:space="preserve"> 1.3 </t>
  </si>
  <si>
    <t>Амортизац.отчисления</t>
  </si>
  <si>
    <t>1.3</t>
  </si>
  <si>
    <t>Прочие доходы</t>
  </si>
  <si>
    <t>1.4</t>
  </si>
  <si>
    <t>Расходы всего:</t>
  </si>
  <si>
    <t xml:space="preserve"> 2.1 </t>
  </si>
  <si>
    <t>Производст.себестоимость ТП</t>
  </si>
  <si>
    <t xml:space="preserve">  Материальные затраты</t>
  </si>
  <si>
    <t xml:space="preserve"> из них:    - сырье и материалы</t>
  </si>
  <si>
    <t xml:space="preserve">                - топливо</t>
  </si>
  <si>
    <t xml:space="preserve">                - энергия</t>
  </si>
  <si>
    <t xml:space="preserve">                - услуги производ.характера</t>
  </si>
  <si>
    <t xml:space="preserve">  ФОТ</t>
  </si>
  <si>
    <t xml:space="preserve">  Отчисления на соц.страх</t>
  </si>
  <si>
    <t xml:space="preserve">  Амортизация</t>
  </si>
  <si>
    <t xml:space="preserve">  Прочие</t>
  </si>
  <si>
    <t>Прочие расходы от аренды техники</t>
  </si>
  <si>
    <t xml:space="preserve"> 2.2 </t>
  </si>
  <si>
    <t>Расходы периода:</t>
  </si>
  <si>
    <t>2.2.1.</t>
  </si>
  <si>
    <t xml:space="preserve">Расходы на содержание АУП: </t>
  </si>
  <si>
    <t xml:space="preserve">             - ФОТ с отчислениями </t>
  </si>
  <si>
    <t xml:space="preserve">             -  аммортизация</t>
  </si>
  <si>
    <t xml:space="preserve">             - транспорт.услуги</t>
  </si>
  <si>
    <t xml:space="preserve">             - услуги связи</t>
  </si>
  <si>
    <t xml:space="preserve">             - командировочные</t>
  </si>
  <si>
    <t xml:space="preserve">             - прочие</t>
  </si>
  <si>
    <t>2.2.2.</t>
  </si>
  <si>
    <t xml:space="preserve">   Прочие операционные расходы</t>
  </si>
  <si>
    <t xml:space="preserve">   из них платежи в бюджет</t>
  </si>
  <si>
    <t xml:space="preserve"> - во внебюджетные фонды</t>
  </si>
  <si>
    <t xml:space="preserve"> - социальные выплаты</t>
  </si>
  <si>
    <t>- соц.выплаты от доходов переаренды</t>
  </si>
  <si>
    <t xml:space="preserve"> - сод. соц.сферы и благотв.</t>
  </si>
  <si>
    <t xml:space="preserve"> - нематериальные услуги</t>
  </si>
  <si>
    <t xml:space="preserve"> - прочие опер.расходы </t>
  </si>
  <si>
    <t>Расходы от финансовой деят-ти</t>
  </si>
  <si>
    <t>Доходы от финансовой деят-ти</t>
  </si>
  <si>
    <t>Балансовая прибыль</t>
  </si>
  <si>
    <t>Налогооблогаемая база</t>
  </si>
  <si>
    <t>Налог на прибыль 15%</t>
  </si>
  <si>
    <t>Чистая прибыль</t>
  </si>
  <si>
    <t>Рентабельность</t>
  </si>
  <si>
    <t xml:space="preserve">               Председатель правления АО "БНГАН" : -</t>
  </si>
  <si>
    <t>Саидов Х.Т.</t>
  </si>
  <si>
    <t xml:space="preserve">               И.о. Главного бухгалтера : -</t>
  </si>
  <si>
    <t>Нарзуллаев К.К.</t>
  </si>
  <si>
    <t xml:space="preserve">               Вед.спец. Э и ЗП :</t>
  </si>
  <si>
    <t>Лештаева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</si>
</sst>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 Cyr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" fillId="0" borderId="0" xfId="1"/>
    <xf numFmtId="3" fontId="1" fillId="0" borderId="0" xfId="1" applyNumberForma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0" borderId="4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" fontId="4" fillId="0" borderId="4" xfId="1" applyNumberFormat="1" applyFont="1" applyBorder="1" applyAlignment="1">
      <alignment horizontal="center"/>
    </xf>
    <xf numFmtId="0" fontId="4" fillId="0" borderId="4" xfId="1" applyFont="1" applyBorder="1"/>
    <xf numFmtId="3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Border="1"/>
    <xf numFmtId="3" fontId="5" fillId="0" borderId="4" xfId="1" applyNumberFormat="1" applyFont="1" applyBorder="1" applyAlignment="1">
      <alignment horizontal="center"/>
    </xf>
    <xf numFmtId="49" fontId="4" fillId="0" borderId="4" xfId="1" applyNumberFormat="1" applyFont="1" applyBorder="1"/>
    <xf numFmtId="14" fontId="2" fillId="0" borderId="4" xfId="1" applyNumberFormat="1" applyFont="1" applyBorder="1" applyAlignment="1">
      <alignment horizontal="center"/>
    </xf>
    <xf numFmtId="3" fontId="6" fillId="0" borderId="4" xfId="1" applyNumberFormat="1" applyFont="1" applyBorder="1" applyAlignment="1">
      <alignment horizontal="center"/>
    </xf>
    <xf numFmtId="3" fontId="6" fillId="0" borderId="4" xfId="2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1" applyFont="1" applyAlignment="1">
      <alignment horizont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3">
    <cellStyle name="Обычный" xfId="0" builtinId="0"/>
    <cellStyle name="Обычный_баланс1" xfId="2" xr:uid="{D3F9B2EC-8CA4-47CC-9087-B437C9878B41}"/>
    <cellStyle name="Обычный_Финплан" xfId="1" xr:uid="{5449CD2C-B2D5-4660-BA3A-66AEACB45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DEB4-BA36-42A9-A2AA-7F23C87E7FD4}">
  <dimension ref="A1:F54"/>
  <sheetViews>
    <sheetView tabSelected="1" workbookViewId="0">
      <selection sqref="A1:F1"/>
    </sheetView>
  </sheetViews>
  <sheetFormatPr defaultRowHeight="15" x14ac:dyDescent="0.25"/>
  <cols>
    <col min="2" max="2" width="36.28515625" customWidth="1"/>
    <col min="5" max="5" width="16" customWidth="1"/>
    <col min="6" max="6" width="22" customWidth="1"/>
  </cols>
  <sheetData>
    <row r="1" spans="1:6" ht="15.75" x14ac:dyDescent="0.25">
      <c r="A1" s="34" t="s">
        <v>0</v>
      </c>
      <c r="B1" s="34"/>
      <c r="C1" s="34"/>
      <c r="D1" s="34"/>
      <c r="E1" s="34"/>
      <c r="F1" s="34"/>
    </row>
    <row r="2" spans="1:6" ht="15.75" x14ac:dyDescent="0.25">
      <c r="A2" s="34" t="s">
        <v>1</v>
      </c>
      <c r="B2" s="34"/>
      <c r="C2" s="34"/>
      <c r="D2" s="34"/>
      <c r="E2" s="34"/>
      <c r="F2" s="34"/>
    </row>
    <row r="3" spans="1:6" ht="15.75" thickBot="1" x14ac:dyDescent="0.3">
      <c r="A3" s="1"/>
      <c r="B3" s="1"/>
      <c r="C3" s="2"/>
      <c r="D3" s="2"/>
      <c r="E3" s="1"/>
      <c r="F3" s="3" t="s">
        <v>2</v>
      </c>
    </row>
    <row r="4" spans="1:6" x14ac:dyDescent="0.25">
      <c r="A4" s="4" t="s">
        <v>3</v>
      </c>
      <c r="B4" s="4" t="s">
        <v>4</v>
      </c>
      <c r="C4" s="35" t="s">
        <v>5</v>
      </c>
      <c r="D4" s="35" t="s">
        <v>6</v>
      </c>
      <c r="E4" s="37" t="s">
        <v>7</v>
      </c>
      <c r="F4" s="4" t="s">
        <v>8</v>
      </c>
    </row>
    <row r="5" spans="1:6" ht="15.75" thickBot="1" x14ac:dyDescent="0.3">
      <c r="A5" s="5" t="s">
        <v>9</v>
      </c>
      <c r="B5" s="5" t="s">
        <v>10</v>
      </c>
      <c r="C5" s="36"/>
      <c r="D5" s="36"/>
      <c r="E5" s="38"/>
      <c r="F5" s="5" t="s">
        <v>11</v>
      </c>
    </row>
    <row r="6" spans="1:6" ht="15.75" x14ac:dyDescent="0.25">
      <c r="A6" s="6">
        <v>1</v>
      </c>
      <c r="B6" s="7" t="s">
        <v>12</v>
      </c>
      <c r="C6" s="8">
        <f>C7+C10</f>
        <v>10579</v>
      </c>
      <c r="D6" s="8">
        <f>D7+D10</f>
        <v>23022.344000000001</v>
      </c>
      <c r="E6" s="9">
        <f t="shared" ref="E6:E35" si="0">D6/C6*100</f>
        <v>217.62306456186784</v>
      </c>
      <c r="F6" s="9">
        <f t="shared" ref="F6:F44" si="1">D6-C6</f>
        <v>12443.344000000001</v>
      </c>
    </row>
    <row r="7" spans="1:6" ht="15.75" x14ac:dyDescent="0.25">
      <c r="A7" s="10" t="s">
        <v>13</v>
      </c>
      <c r="B7" s="11" t="s">
        <v>14</v>
      </c>
      <c r="C7" s="12">
        <f>2570+2625+2600+2760</f>
        <v>10555</v>
      </c>
      <c r="D7" s="12">
        <v>23022.344000000001</v>
      </c>
      <c r="E7" s="9">
        <f t="shared" si="0"/>
        <v>218.11789673140694</v>
      </c>
      <c r="F7" s="9">
        <f t="shared" si="1"/>
        <v>12467.344000000001</v>
      </c>
    </row>
    <row r="8" spans="1:6" ht="15.75" x14ac:dyDescent="0.25">
      <c r="A8" s="13" t="s">
        <v>15</v>
      </c>
      <c r="B8" s="11" t="s">
        <v>16</v>
      </c>
      <c r="C8" s="12">
        <f>+C7*15%</f>
        <v>1583.25</v>
      </c>
      <c r="D8" s="12">
        <f>D7*15%</f>
        <v>3453.3516</v>
      </c>
      <c r="E8" s="9">
        <f t="shared" si="0"/>
        <v>218.11789673140694</v>
      </c>
      <c r="F8" s="9">
        <f t="shared" si="1"/>
        <v>1870.1016</v>
      </c>
    </row>
    <row r="9" spans="1:6" ht="15.75" x14ac:dyDescent="0.25">
      <c r="A9" s="13" t="s">
        <v>17</v>
      </c>
      <c r="B9" s="11" t="s">
        <v>18</v>
      </c>
      <c r="C9" s="12">
        <f>347+347+347</f>
        <v>1041</v>
      </c>
      <c r="D9" s="12">
        <v>1041</v>
      </c>
      <c r="E9" s="9">
        <f t="shared" si="0"/>
        <v>100</v>
      </c>
      <c r="F9" s="9">
        <f t="shared" si="1"/>
        <v>0</v>
      </c>
    </row>
    <row r="10" spans="1:6" ht="15.75" x14ac:dyDescent="0.25">
      <c r="A10" s="14" t="s">
        <v>19</v>
      </c>
      <c r="B10" s="11" t="s">
        <v>20</v>
      </c>
      <c r="C10" s="12">
        <f>6+6+6+6</f>
        <v>24</v>
      </c>
      <c r="D10" s="12">
        <v>0</v>
      </c>
      <c r="E10" s="9">
        <f t="shared" si="0"/>
        <v>0</v>
      </c>
      <c r="F10" s="9">
        <f t="shared" si="1"/>
        <v>-24</v>
      </c>
    </row>
    <row r="11" spans="1:6" ht="15.75" x14ac:dyDescent="0.25">
      <c r="A11" s="14" t="s">
        <v>21</v>
      </c>
      <c r="B11" s="11" t="s">
        <v>16</v>
      </c>
      <c r="C11" s="12">
        <f>C10*15%</f>
        <v>3.5999999999999996</v>
      </c>
      <c r="D11" s="12">
        <f>D10*15%</f>
        <v>0</v>
      </c>
      <c r="E11" s="9">
        <f>D11/C11*100</f>
        <v>0</v>
      </c>
      <c r="F11" s="9">
        <f>D11-C11</f>
        <v>-3.5999999999999996</v>
      </c>
    </row>
    <row r="12" spans="1:6" ht="15.75" x14ac:dyDescent="0.25">
      <c r="A12" s="15">
        <v>2</v>
      </c>
      <c r="B12" s="16" t="s">
        <v>22</v>
      </c>
      <c r="C12" s="8">
        <f>C13+C24</f>
        <v>10060.137999999999</v>
      </c>
      <c r="D12" s="8">
        <f>D13+D24</f>
        <v>22199.407000000003</v>
      </c>
      <c r="E12" s="9">
        <f t="shared" si="0"/>
        <v>220.66702265913256</v>
      </c>
      <c r="F12" s="9">
        <f t="shared" si="1"/>
        <v>12139.269000000004</v>
      </c>
    </row>
    <row r="13" spans="1:6" ht="15.75" x14ac:dyDescent="0.25">
      <c r="A13" s="15" t="s">
        <v>23</v>
      </c>
      <c r="B13" s="16" t="s">
        <v>24</v>
      </c>
      <c r="C13" s="8">
        <f>C14+C19+C20+C21+C22</f>
        <v>7421</v>
      </c>
      <c r="D13" s="8">
        <f>D14+D19+D20+D21+D22+D23</f>
        <v>17780.531000000003</v>
      </c>
      <c r="E13" s="9">
        <f t="shared" si="0"/>
        <v>239.59750707451829</v>
      </c>
      <c r="F13" s="9">
        <f t="shared" si="1"/>
        <v>10359.531000000003</v>
      </c>
    </row>
    <row r="14" spans="1:6" ht="15.75" x14ac:dyDescent="0.25">
      <c r="A14" s="13"/>
      <c r="B14" s="11" t="s">
        <v>25</v>
      </c>
      <c r="C14" s="12">
        <f>C15+C16+C17+C18</f>
        <v>1880</v>
      </c>
      <c r="D14" s="12">
        <f>D15+D16+D17+D18</f>
        <v>9136.7800000000007</v>
      </c>
      <c r="E14" s="9">
        <f t="shared" si="0"/>
        <v>485.99893617021286</v>
      </c>
      <c r="F14" s="9">
        <f t="shared" si="1"/>
        <v>7256.7800000000007</v>
      </c>
    </row>
    <row r="15" spans="1:6" ht="15.75" x14ac:dyDescent="0.25">
      <c r="A15" s="13"/>
      <c r="B15" s="11" t="s">
        <v>26</v>
      </c>
      <c r="C15" s="12">
        <f>205+205+205+205</f>
        <v>820</v>
      </c>
      <c r="D15" s="12">
        <f>2254.809+3786</f>
        <v>6040.8090000000002</v>
      </c>
      <c r="E15" s="9">
        <f t="shared" si="0"/>
        <v>736.68402439024396</v>
      </c>
      <c r="F15" s="9">
        <f t="shared" si="1"/>
        <v>5220.8090000000002</v>
      </c>
    </row>
    <row r="16" spans="1:6" ht="15.75" x14ac:dyDescent="0.25">
      <c r="A16" s="13"/>
      <c r="B16" s="11" t="s">
        <v>27</v>
      </c>
      <c r="C16" s="12">
        <f>250+250+250+250</f>
        <v>1000</v>
      </c>
      <c r="D16" s="12">
        <f>19.353+3000</f>
        <v>3019.3530000000001</v>
      </c>
      <c r="E16" s="9">
        <f t="shared" si="0"/>
        <v>301.93530000000004</v>
      </c>
      <c r="F16" s="9">
        <f t="shared" si="1"/>
        <v>2019.3530000000001</v>
      </c>
    </row>
    <row r="17" spans="1:6" ht="15.75" x14ac:dyDescent="0.25">
      <c r="A17" s="13"/>
      <c r="B17" s="11" t="s">
        <v>28</v>
      </c>
      <c r="C17" s="12">
        <f>5+5+5+5</f>
        <v>20</v>
      </c>
      <c r="D17" s="12">
        <v>25.617999999999999</v>
      </c>
      <c r="E17" s="9">
        <f t="shared" si="0"/>
        <v>128.09</v>
      </c>
      <c r="F17" s="9">
        <f t="shared" si="1"/>
        <v>5.6179999999999986</v>
      </c>
    </row>
    <row r="18" spans="1:6" ht="15.75" x14ac:dyDescent="0.25">
      <c r="A18" s="13"/>
      <c r="B18" s="11" t="s">
        <v>29</v>
      </c>
      <c r="C18" s="12">
        <f>10+10+10+10</f>
        <v>40</v>
      </c>
      <c r="D18" s="12">
        <v>51</v>
      </c>
      <c r="E18" s="9">
        <f t="shared" si="0"/>
        <v>127.49999999999999</v>
      </c>
      <c r="F18" s="9">
        <f t="shared" si="1"/>
        <v>11</v>
      </c>
    </row>
    <row r="19" spans="1:6" ht="15.75" x14ac:dyDescent="0.25">
      <c r="A19" s="13"/>
      <c r="B19" s="11" t="s">
        <v>30</v>
      </c>
      <c r="C19" s="12">
        <f>921+921+921+920</f>
        <v>3683</v>
      </c>
      <c r="D19" s="17">
        <f>3740.531+2000</f>
        <v>5740.5309999999999</v>
      </c>
      <c r="E19" s="9">
        <f t="shared" si="0"/>
        <v>155.8656258484931</v>
      </c>
      <c r="F19" s="9">
        <f t="shared" si="1"/>
        <v>2057.5309999999999</v>
      </c>
    </row>
    <row r="20" spans="1:6" ht="15.75" x14ac:dyDescent="0.25">
      <c r="A20" s="13"/>
      <c r="B20" s="11" t="s">
        <v>31</v>
      </c>
      <c r="C20" s="12">
        <f>111+111+111+111</f>
        <v>444</v>
      </c>
      <c r="D20" s="12">
        <v>141.38200000000001</v>
      </c>
      <c r="E20" s="9">
        <f t="shared" si="0"/>
        <v>31.842792792792796</v>
      </c>
      <c r="F20" s="9">
        <f t="shared" si="1"/>
        <v>-302.61799999999999</v>
      </c>
    </row>
    <row r="21" spans="1:6" ht="15.75" x14ac:dyDescent="0.25">
      <c r="A21" s="13"/>
      <c r="B21" s="11" t="s">
        <v>32</v>
      </c>
      <c r="C21" s="12">
        <f>346+346+346+346</f>
        <v>1384</v>
      </c>
      <c r="D21" s="12">
        <v>629.83799999999997</v>
      </c>
      <c r="E21" s="9">
        <f t="shared" si="0"/>
        <v>45.50852601156069</v>
      </c>
      <c r="F21" s="9">
        <f t="shared" si="1"/>
        <v>-754.16200000000003</v>
      </c>
    </row>
    <row r="22" spans="1:6" ht="15.75" x14ac:dyDescent="0.25">
      <c r="A22" s="13"/>
      <c r="B22" s="11" t="s">
        <v>33</v>
      </c>
      <c r="C22" s="12">
        <f>7+7+8+8</f>
        <v>30</v>
      </c>
      <c r="D22" s="12">
        <v>35</v>
      </c>
      <c r="E22" s="9">
        <f t="shared" si="0"/>
        <v>116.66666666666667</v>
      </c>
      <c r="F22" s="9">
        <f t="shared" si="1"/>
        <v>5</v>
      </c>
    </row>
    <row r="23" spans="1:6" ht="15.75" x14ac:dyDescent="0.25">
      <c r="A23" s="13"/>
      <c r="B23" s="11" t="s">
        <v>34</v>
      </c>
      <c r="C23" s="12"/>
      <c r="D23" s="12">
        <v>2097</v>
      </c>
      <c r="E23" s="9">
        <v>0</v>
      </c>
      <c r="F23" s="9">
        <v>0</v>
      </c>
    </row>
    <row r="24" spans="1:6" ht="15.75" x14ac:dyDescent="0.25">
      <c r="A24" s="15" t="s">
        <v>35</v>
      </c>
      <c r="B24" s="16" t="s">
        <v>36</v>
      </c>
      <c r="C24" s="8">
        <f>C25+C32</f>
        <v>2639.1379999999999</v>
      </c>
      <c r="D24" s="8">
        <f>D25+D32</f>
        <v>4418.8760000000002</v>
      </c>
      <c r="E24" s="9">
        <f t="shared" si="0"/>
        <v>167.43633716766612</v>
      </c>
      <c r="F24" s="9">
        <f t="shared" si="1"/>
        <v>1779.7380000000003</v>
      </c>
    </row>
    <row r="25" spans="1:6" ht="15.75" x14ac:dyDescent="0.25">
      <c r="A25" s="15" t="s">
        <v>37</v>
      </c>
      <c r="B25" s="16" t="s">
        <v>38</v>
      </c>
      <c r="C25" s="8">
        <f>C26+C27+C28+C29+C30+C31</f>
        <v>519.38400000000001</v>
      </c>
      <c r="D25" s="8">
        <f>D26+D27+D28+D29+D30+D31</f>
        <v>616.08000000000015</v>
      </c>
      <c r="E25" s="9">
        <f t="shared" si="0"/>
        <v>118.61743912018856</v>
      </c>
      <c r="F25" s="9">
        <f t="shared" si="1"/>
        <v>96.69600000000014</v>
      </c>
    </row>
    <row r="26" spans="1:6" ht="15.75" x14ac:dyDescent="0.25">
      <c r="A26" s="13"/>
      <c r="B26" s="11" t="s">
        <v>39</v>
      </c>
      <c r="C26" s="12">
        <f>108+13+108+13+108+13+108+13</f>
        <v>484</v>
      </c>
      <c r="D26" s="12">
        <f>483.5+16.851</f>
        <v>500.351</v>
      </c>
      <c r="E26" s="9">
        <f t="shared" si="0"/>
        <v>103.37830578512397</v>
      </c>
      <c r="F26" s="9">
        <f t="shared" si="1"/>
        <v>16.350999999999999</v>
      </c>
    </row>
    <row r="27" spans="1:6" ht="15.75" x14ac:dyDescent="0.25">
      <c r="A27" s="13"/>
      <c r="B27" s="11" t="s">
        <v>40</v>
      </c>
      <c r="C27" s="12">
        <f>1.096+1.096+1.096+1.096</f>
        <v>4.3840000000000003</v>
      </c>
      <c r="D27" s="12">
        <v>17.373000000000001</v>
      </c>
      <c r="E27" s="9">
        <f>D27/C27*100</f>
        <v>396.28193430656933</v>
      </c>
      <c r="F27" s="9">
        <f>D27-C27</f>
        <v>12.989000000000001</v>
      </c>
    </row>
    <row r="28" spans="1:6" ht="15.75" x14ac:dyDescent="0.25">
      <c r="A28" s="13"/>
      <c r="B28" s="11" t="s">
        <v>41</v>
      </c>
      <c r="C28" s="12">
        <v>0</v>
      </c>
      <c r="D28" s="12">
        <v>0</v>
      </c>
      <c r="E28" s="9">
        <v>0</v>
      </c>
      <c r="F28" s="9">
        <f t="shared" si="1"/>
        <v>0</v>
      </c>
    </row>
    <row r="29" spans="1:6" ht="15.75" x14ac:dyDescent="0.25">
      <c r="A29" s="13"/>
      <c r="B29" s="11" t="s">
        <v>42</v>
      </c>
      <c r="C29" s="12">
        <f>0+1+0+1</f>
        <v>2</v>
      </c>
      <c r="D29" s="12">
        <v>3.9220000000000002</v>
      </c>
      <c r="E29" s="9">
        <f t="shared" si="0"/>
        <v>196.1</v>
      </c>
      <c r="F29" s="9">
        <f t="shared" si="1"/>
        <v>1.9220000000000002</v>
      </c>
    </row>
    <row r="30" spans="1:6" ht="15.75" x14ac:dyDescent="0.25">
      <c r="A30" s="13"/>
      <c r="B30" s="11" t="s">
        <v>43</v>
      </c>
      <c r="C30" s="12">
        <f>2+2+2+2</f>
        <v>8</v>
      </c>
      <c r="D30" s="12">
        <v>48.609000000000002</v>
      </c>
      <c r="E30" s="9">
        <f t="shared" si="0"/>
        <v>607.61250000000007</v>
      </c>
      <c r="F30" s="9">
        <f t="shared" si="1"/>
        <v>40.609000000000002</v>
      </c>
    </row>
    <row r="31" spans="1:6" ht="15.75" x14ac:dyDescent="0.25">
      <c r="A31" s="13"/>
      <c r="B31" s="11" t="s">
        <v>44</v>
      </c>
      <c r="C31" s="12">
        <f>6.346+6.346+6.346+6.346-4.384</f>
        <v>21</v>
      </c>
      <c r="D31" s="12">
        <v>45.825000000000003</v>
      </c>
      <c r="E31" s="9">
        <f t="shared" si="0"/>
        <v>218.21428571428575</v>
      </c>
      <c r="F31" s="9">
        <f t="shared" si="1"/>
        <v>24.825000000000003</v>
      </c>
    </row>
    <row r="32" spans="1:6" ht="15.75" x14ac:dyDescent="0.25">
      <c r="A32" s="15" t="s">
        <v>45</v>
      </c>
      <c r="B32" s="16" t="s">
        <v>46</v>
      </c>
      <c r="C32" s="8">
        <f>C33+C34+C35+C38+C39</f>
        <v>2119.7539999999999</v>
      </c>
      <c r="D32" s="8">
        <f>D33+D35+D36+D39</f>
        <v>3802.7959999999998</v>
      </c>
      <c r="E32" s="9">
        <f t="shared" si="0"/>
        <v>179.39798674751881</v>
      </c>
      <c r="F32" s="9">
        <f t="shared" si="1"/>
        <v>1683.0419999999999</v>
      </c>
    </row>
    <row r="33" spans="1:6" ht="15.75" x14ac:dyDescent="0.25">
      <c r="A33" s="15"/>
      <c r="B33" s="11" t="s">
        <v>47</v>
      </c>
      <c r="C33" s="12">
        <f>37.799+37.799+37.799+37.799</f>
        <v>151.196</v>
      </c>
      <c r="D33" s="12">
        <v>318.31299999999999</v>
      </c>
      <c r="E33" s="9">
        <f t="shared" si="0"/>
        <v>210.53004047726128</v>
      </c>
      <c r="F33" s="9">
        <f t="shared" si="1"/>
        <v>167.11699999999999</v>
      </c>
    </row>
    <row r="34" spans="1:6" ht="15.75" x14ac:dyDescent="0.25">
      <c r="A34" s="13"/>
      <c r="B34" s="11" t="s">
        <v>48</v>
      </c>
      <c r="C34" s="12">
        <v>0</v>
      </c>
      <c r="D34" s="12">
        <v>0</v>
      </c>
      <c r="E34" s="9">
        <v>0</v>
      </c>
      <c r="F34" s="9">
        <f t="shared" si="1"/>
        <v>0</v>
      </c>
    </row>
    <row r="35" spans="1:6" ht="15.75" x14ac:dyDescent="0.25">
      <c r="A35" s="13"/>
      <c r="B35" s="11" t="s">
        <v>49</v>
      </c>
      <c r="C35" s="12">
        <f>355.802+392.252+338.252+500.252</f>
        <v>1586.558</v>
      </c>
      <c r="D35" s="12">
        <v>2832.14</v>
      </c>
      <c r="E35" s="9">
        <f t="shared" si="0"/>
        <v>178.50844406570701</v>
      </c>
      <c r="F35" s="9">
        <f t="shared" si="1"/>
        <v>1245.5819999999999</v>
      </c>
    </row>
    <row r="36" spans="1:6" ht="15.75" x14ac:dyDescent="0.25">
      <c r="A36" s="13"/>
      <c r="B36" s="18" t="s">
        <v>50</v>
      </c>
      <c r="C36" s="12"/>
      <c r="D36" s="12">
        <v>262</v>
      </c>
      <c r="E36" s="9">
        <v>0</v>
      </c>
      <c r="F36" s="9">
        <v>0</v>
      </c>
    </row>
    <row r="37" spans="1:6" ht="15.75" x14ac:dyDescent="0.25">
      <c r="A37" s="13"/>
      <c r="B37" s="11" t="s">
        <v>51</v>
      </c>
      <c r="C37" s="12">
        <v>0</v>
      </c>
      <c r="D37" s="12">
        <v>0</v>
      </c>
      <c r="E37" s="9">
        <v>0</v>
      </c>
      <c r="F37" s="9">
        <f t="shared" si="1"/>
        <v>0</v>
      </c>
    </row>
    <row r="38" spans="1:6" ht="15.75" x14ac:dyDescent="0.25">
      <c r="A38" s="19"/>
      <c r="B38" s="11" t="s">
        <v>52</v>
      </c>
      <c r="C38" s="12"/>
      <c r="D38" s="12"/>
      <c r="E38" s="9">
        <v>0</v>
      </c>
      <c r="F38" s="9">
        <f t="shared" si="1"/>
        <v>0</v>
      </c>
    </row>
    <row r="39" spans="1:6" ht="15.75" x14ac:dyDescent="0.25">
      <c r="A39" s="19"/>
      <c r="B39" s="11" t="s">
        <v>53</v>
      </c>
      <c r="C39" s="12">
        <v>382</v>
      </c>
      <c r="D39" s="12">
        <f>652.343-262</f>
        <v>390.34299999999996</v>
      </c>
      <c r="E39" s="9">
        <f t="shared" ref="E39:E45" si="2">D39/C39*100</f>
        <v>102.18403141361256</v>
      </c>
      <c r="F39" s="9">
        <f t="shared" si="1"/>
        <v>8.3429999999999609</v>
      </c>
    </row>
    <row r="40" spans="1:6" ht="15.75" x14ac:dyDescent="0.25">
      <c r="A40" s="15">
        <v>3</v>
      </c>
      <c r="B40" s="16" t="s">
        <v>54</v>
      </c>
      <c r="C40" s="8">
        <f>20+35+50+45</f>
        <v>150</v>
      </c>
      <c r="D40" s="8">
        <v>99.183000000000007</v>
      </c>
      <c r="E40" s="9">
        <f t="shared" si="2"/>
        <v>66.122</v>
      </c>
      <c r="F40" s="9">
        <f t="shared" si="1"/>
        <v>-50.816999999999993</v>
      </c>
    </row>
    <row r="41" spans="1:6" ht="15.75" x14ac:dyDescent="0.25">
      <c r="A41" s="15">
        <v>4</v>
      </c>
      <c r="B41" s="16" t="s">
        <v>55</v>
      </c>
      <c r="C41" s="8">
        <f>7+5+6+5</f>
        <v>23</v>
      </c>
      <c r="D41" s="8">
        <v>0</v>
      </c>
      <c r="E41" s="9">
        <f t="shared" si="2"/>
        <v>0</v>
      </c>
      <c r="F41" s="9">
        <f t="shared" si="1"/>
        <v>-23</v>
      </c>
    </row>
    <row r="42" spans="1:6" ht="15.75" x14ac:dyDescent="0.25">
      <c r="A42" s="15">
        <v>5</v>
      </c>
      <c r="B42" s="16" t="s">
        <v>56</v>
      </c>
      <c r="C42" s="8">
        <f>+C6-C12-C40+C41</f>
        <v>391.86200000000099</v>
      </c>
      <c r="D42" s="8">
        <v>523.49699999999996</v>
      </c>
      <c r="E42" s="9">
        <f t="shared" si="2"/>
        <v>133.59218296236907</v>
      </c>
      <c r="F42" s="9">
        <f t="shared" si="1"/>
        <v>131.63499999999897</v>
      </c>
    </row>
    <row r="43" spans="1:6" ht="15.75" x14ac:dyDescent="0.25">
      <c r="A43" s="15">
        <v>6</v>
      </c>
      <c r="B43" s="16" t="s">
        <v>57</v>
      </c>
      <c r="C43" s="8">
        <f>C44*100/15</f>
        <v>391.86200000000099</v>
      </c>
      <c r="D43" s="8">
        <f>D44*100/15</f>
        <v>0</v>
      </c>
      <c r="E43" s="9">
        <f t="shared" si="2"/>
        <v>0</v>
      </c>
      <c r="F43" s="9">
        <f t="shared" si="1"/>
        <v>-391.86200000000099</v>
      </c>
    </row>
    <row r="44" spans="1:6" ht="15.75" x14ac:dyDescent="0.25">
      <c r="A44" s="15">
        <v>7</v>
      </c>
      <c r="B44" s="16" t="s">
        <v>58</v>
      </c>
      <c r="C44" s="20">
        <f>C42*15%</f>
        <v>58.779300000000148</v>
      </c>
      <c r="D44" s="20">
        <v>0</v>
      </c>
      <c r="E44" s="9">
        <f t="shared" si="2"/>
        <v>0</v>
      </c>
      <c r="F44" s="9">
        <f t="shared" si="1"/>
        <v>-58.779300000000148</v>
      </c>
    </row>
    <row r="45" spans="1:6" ht="15.75" x14ac:dyDescent="0.25">
      <c r="A45" s="15">
        <v>8</v>
      </c>
      <c r="B45" s="16" t="s">
        <v>59</v>
      </c>
      <c r="C45" s="21">
        <f>+C42-C44</f>
        <v>333.08270000000084</v>
      </c>
      <c r="D45" s="21">
        <f>+D42-D44</f>
        <v>523.49699999999996</v>
      </c>
      <c r="E45" s="9">
        <f t="shared" si="2"/>
        <v>157.16727407337535</v>
      </c>
      <c r="F45" s="9">
        <f>D45</f>
        <v>523.49699999999996</v>
      </c>
    </row>
    <row r="46" spans="1:6" ht="15.75" x14ac:dyDescent="0.25">
      <c r="A46" s="15">
        <v>9</v>
      </c>
      <c r="B46" s="16" t="s">
        <v>60</v>
      </c>
      <c r="C46" s="22">
        <f>C45/C13*100</f>
        <v>4.4883802722005237</v>
      </c>
      <c r="D46" s="23">
        <f>D45/D13*100</f>
        <v>2.944214658156159</v>
      </c>
      <c r="E46" s="9">
        <f>D46/C46*100</f>
        <v>65.596372847274267</v>
      </c>
      <c r="F46" s="24"/>
    </row>
    <row r="47" spans="1:6" ht="15.75" x14ac:dyDescent="0.25">
      <c r="A47" s="25"/>
      <c r="B47" s="26"/>
      <c r="C47" s="27"/>
      <c r="D47" s="27"/>
      <c r="E47" s="28"/>
      <c r="F47" s="28"/>
    </row>
    <row r="48" spans="1:6" ht="15.75" x14ac:dyDescent="0.25">
      <c r="A48" s="29" t="s">
        <v>61</v>
      </c>
      <c r="B48" s="30"/>
      <c r="C48" s="31"/>
      <c r="D48" s="31"/>
      <c r="E48" s="32"/>
      <c r="F48" s="33" t="s">
        <v>62</v>
      </c>
    </row>
    <row r="49" spans="1:6" ht="15.75" x14ac:dyDescent="0.25">
      <c r="A49" s="29"/>
      <c r="B49" s="30"/>
      <c r="C49" s="31"/>
      <c r="D49" s="31"/>
      <c r="E49" s="32"/>
      <c r="F49" s="33"/>
    </row>
    <row r="50" spans="1:6" ht="15.75" x14ac:dyDescent="0.25">
      <c r="A50" s="29"/>
      <c r="B50" s="30"/>
      <c r="C50" s="31"/>
      <c r="D50" s="31"/>
      <c r="E50" s="32"/>
      <c r="F50" s="33"/>
    </row>
    <row r="51" spans="1:6" ht="15.75" x14ac:dyDescent="0.25">
      <c r="A51" s="29" t="s">
        <v>63</v>
      </c>
      <c r="B51" s="30"/>
      <c r="C51" s="31"/>
      <c r="D51" s="31"/>
      <c r="E51" s="32"/>
      <c r="F51" s="33" t="s">
        <v>64</v>
      </c>
    </row>
    <row r="52" spans="1:6" ht="15.75" x14ac:dyDescent="0.25">
      <c r="A52" s="29"/>
      <c r="B52" s="30"/>
      <c r="C52" s="31"/>
      <c r="D52" s="31"/>
      <c r="E52" s="32"/>
      <c r="F52" s="33"/>
    </row>
    <row r="53" spans="1:6" ht="15.75" x14ac:dyDescent="0.25">
      <c r="A53" s="29"/>
      <c r="B53" s="30"/>
      <c r="C53" s="31"/>
      <c r="D53" s="31"/>
      <c r="E53" s="32"/>
      <c r="F53" s="33"/>
    </row>
    <row r="54" spans="1:6" ht="15.75" x14ac:dyDescent="0.25">
      <c r="A54" s="29" t="s">
        <v>65</v>
      </c>
      <c r="B54" s="30"/>
      <c r="C54" s="31"/>
      <c r="D54" s="31"/>
      <c r="E54" s="32"/>
      <c r="F54" s="33" t="s">
        <v>66</v>
      </c>
    </row>
  </sheetData>
  <mergeCells count="5">
    <mergeCell ref="A1:F1"/>
    <mergeCell ref="A2:F2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2023-02-23T03:57:01Z</dcterms:modified>
</cp:coreProperties>
</file>