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105" tabRatio="807" activeTab="5"/>
  </bookViews>
  <sheets>
    <sheet name="Рас.бал." sheetId="1" r:id="rId1"/>
    <sheet name="Произ.себ." sheetId="2" r:id="rId2"/>
    <sheet name="Ауп" sheetId="3" r:id="rId3"/>
    <sheet name="Расх.периода" sheetId="4" r:id="rId4"/>
    <sheet name="План ТЭП" sheetId="5" r:id="rId5"/>
    <sheet name="Скор.план" sheetId="6" r:id="rId6"/>
    <sheet name="Прог.расчет" sheetId="7" r:id="rId7"/>
  </sheets>
  <definedNames>
    <definedName name="_xlnm.Print_Area" localSheetId="2">'Ауп'!$A$1:$G$36</definedName>
    <definedName name="_xlnm.Print_Area" localSheetId="4">'План ТЭП'!$B$1:$I$30</definedName>
    <definedName name="_xlnm.Print_Area" localSheetId="6">'Прог.расчет'!$A$1:$C$61</definedName>
    <definedName name="_xlnm.Print_Area" localSheetId="1">'Произ.себ.'!$A$1:$G$38</definedName>
    <definedName name="_xlnm.Print_Area" localSheetId="0">'Рас.бал.'!$A$1:$G$59</definedName>
    <definedName name="_xlnm.Print_Area" localSheetId="3">'Расх.периода'!$A$1:$M$96</definedName>
    <definedName name="_xlnm.Print_Area" localSheetId="5">'Скор.план'!$A$1:$N$92</definedName>
  </definedNames>
  <calcPr fullCalcOnLoad="1"/>
</workbook>
</file>

<file path=xl/sharedStrings.xml><?xml version="1.0" encoding="utf-8"?>
<sst xmlns="http://schemas.openxmlformats.org/spreadsheetml/2006/main" count="487" uniqueCount="349">
  <si>
    <t>Прочие</t>
  </si>
  <si>
    <t>№ п/п</t>
  </si>
  <si>
    <t>Расходы всего:</t>
  </si>
  <si>
    <t>2.1.</t>
  </si>
  <si>
    <t>Производст. Себестимость ТП</t>
  </si>
  <si>
    <t>из них: -сырье и материалы</t>
  </si>
  <si>
    <t>топливо</t>
  </si>
  <si>
    <t>энергия</t>
  </si>
  <si>
    <t>услуги производ.характера</t>
  </si>
  <si>
    <t>ФОТ</t>
  </si>
  <si>
    <t>Отчисления на соц.страх</t>
  </si>
  <si>
    <t>Амортизация</t>
  </si>
  <si>
    <t>2.2.</t>
  </si>
  <si>
    <t>Расходы периода:</t>
  </si>
  <si>
    <t>2.2.1.</t>
  </si>
  <si>
    <t>социальные выплаты</t>
  </si>
  <si>
    <t>нематериальные услуги</t>
  </si>
  <si>
    <t>прочие расходы периода</t>
  </si>
  <si>
    <t>Чистая прибыль</t>
  </si>
  <si>
    <t>Р А С Ч Ё Т Н Ы Й   Б А Л А Н С</t>
  </si>
  <si>
    <t>услуги связи</t>
  </si>
  <si>
    <t>прочие</t>
  </si>
  <si>
    <t>2.2.2.</t>
  </si>
  <si>
    <t>командировочные</t>
  </si>
  <si>
    <t>сод. соц.сферы и благотв.</t>
  </si>
  <si>
    <t>Прочие операционные расходы</t>
  </si>
  <si>
    <t>Объем выполненных работ (услуг)</t>
  </si>
  <si>
    <t>3.</t>
  </si>
  <si>
    <t>Налогооблагаемая база</t>
  </si>
  <si>
    <t>Рентабельность</t>
  </si>
  <si>
    <t>Балансовая прибыль</t>
  </si>
  <si>
    <t>Расходы от финансовой деят-ти</t>
  </si>
  <si>
    <t>Доходы от финансовой деят-ти</t>
  </si>
  <si>
    <t xml:space="preserve">Доходы </t>
  </si>
  <si>
    <t>1.</t>
  </si>
  <si>
    <t>Чистая выручка от выполненных работ</t>
  </si>
  <si>
    <t>1.1</t>
  </si>
  <si>
    <t>Прочие доходы</t>
  </si>
  <si>
    <t>2.</t>
  </si>
  <si>
    <t>2.1.1</t>
  </si>
  <si>
    <t>2.1.2</t>
  </si>
  <si>
    <t>2.1.3</t>
  </si>
  <si>
    <t>2.1.4</t>
  </si>
  <si>
    <t>2.1.5</t>
  </si>
  <si>
    <t>Расходы на содержание АУП:</t>
  </si>
  <si>
    <t>4.</t>
  </si>
  <si>
    <t>5.</t>
  </si>
  <si>
    <t>6.</t>
  </si>
  <si>
    <t>7.</t>
  </si>
  <si>
    <t>8.</t>
  </si>
  <si>
    <t>9.</t>
  </si>
  <si>
    <t xml:space="preserve">из них платежи в бюджет </t>
  </si>
  <si>
    <t>во внебюджетные фонды</t>
  </si>
  <si>
    <t>Скорректированный план</t>
  </si>
  <si>
    <t>Сред.сп. кол-во техники ед.</t>
  </si>
  <si>
    <t>КВП</t>
  </si>
  <si>
    <t>КТГ</t>
  </si>
  <si>
    <t>Доходы</t>
  </si>
  <si>
    <t xml:space="preserve">Расходы </t>
  </si>
  <si>
    <t xml:space="preserve">Прибыль </t>
  </si>
  <si>
    <t>Хоз-ве</t>
  </si>
  <si>
    <t>Работе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</si>
  <si>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</si>
  <si>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</si>
  <si>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</si>
  <si>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</si>
  <si>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</si>
  <si>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</si>
  <si>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</si>
  <si>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</si>
  <si>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</si>
  <si>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</si>
  <si>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</si>
  <si>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</si>
  <si>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</si>
  <si>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</si>
  <si>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</si>
  <si>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</si>
  <si>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" У Т В Е Р Ж Д А Ю"</t>
  </si>
  <si>
    <t>РАСХОДЫ ПЕРИОДА</t>
  </si>
  <si>
    <t>тыс. сум</t>
  </si>
  <si>
    <t>№</t>
  </si>
  <si>
    <t xml:space="preserve">Наименование затрат </t>
  </si>
  <si>
    <t>в том числе по кварталам</t>
  </si>
  <si>
    <t>I</t>
  </si>
  <si>
    <t>II</t>
  </si>
  <si>
    <t>III</t>
  </si>
  <si>
    <t>IV</t>
  </si>
  <si>
    <t>Единовременные премии</t>
  </si>
  <si>
    <t>МП к отпуску</t>
  </si>
  <si>
    <t>Возмешение  расходов работникам:</t>
  </si>
  <si>
    <t>Итого</t>
  </si>
  <si>
    <t>I кв</t>
  </si>
  <si>
    <t>II кв</t>
  </si>
  <si>
    <t>III кв</t>
  </si>
  <si>
    <t>IV кв</t>
  </si>
  <si>
    <t>- Новогодние  подарки</t>
  </si>
  <si>
    <t xml:space="preserve">   ИТОГО:</t>
  </si>
  <si>
    <t xml:space="preserve">2.3.12. Плата за услуги банка, депозитарий и налоги </t>
  </si>
  <si>
    <t>- Налог на имущество</t>
  </si>
  <si>
    <t>ИТОГО:</t>
  </si>
  <si>
    <t>ИТОГО: по прочим операциям</t>
  </si>
  <si>
    <t>ВСЕГО расходов периода :</t>
  </si>
  <si>
    <t>Плановые затраты</t>
  </si>
  <si>
    <t>млн. сум</t>
  </si>
  <si>
    <t>Производственные материальные затраты всего</t>
  </si>
  <si>
    <t xml:space="preserve">Затраты на оплату труда производственного характера </t>
  </si>
  <si>
    <t>Прочие затраты производственного назначения всего</t>
  </si>
  <si>
    <t xml:space="preserve">   в том числе:</t>
  </si>
  <si>
    <t xml:space="preserve">Затраты на содержание производственных фондов (ТО-1, ТО-2) </t>
  </si>
  <si>
    <t>Затраты на ТБ и БД</t>
  </si>
  <si>
    <t xml:space="preserve">Затраты на командировки </t>
  </si>
  <si>
    <t>ВСЕГО ЗАТРАТ:</t>
  </si>
  <si>
    <t>Расходы на оплату труда</t>
  </si>
  <si>
    <t>З/п водителя</t>
  </si>
  <si>
    <t>Горючее</t>
  </si>
  <si>
    <t>Смазка</t>
  </si>
  <si>
    <t>Затраты на ТО-1, ТО-2</t>
  </si>
  <si>
    <t xml:space="preserve">Затраты на организацию и управление хоз-ных субъектов и его структур. Всего:  </t>
  </si>
  <si>
    <t>Электроэнергия</t>
  </si>
  <si>
    <t xml:space="preserve">Газоснабжение </t>
  </si>
  <si>
    <t>Плата за услуги связи</t>
  </si>
  <si>
    <t xml:space="preserve">Амортизационные отчисление </t>
  </si>
  <si>
    <t>ВСЕГО</t>
  </si>
  <si>
    <t>№№ пп</t>
  </si>
  <si>
    <t>Наименование показателей</t>
  </si>
  <si>
    <t>Валовая выручка  от реализации работ ( услуг)</t>
  </si>
  <si>
    <t>в т.ч. НДС</t>
  </si>
  <si>
    <t>Акцизный  налог</t>
  </si>
  <si>
    <t>Спецнадбавка</t>
  </si>
  <si>
    <t>ФЦР</t>
  </si>
  <si>
    <t>Чистая выручка</t>
  </si>
  <si>
    <t>4</t>
  </si>
  <si>
    <t>Затраты на производство</t>
  </si>
  <si>
    <t>в том числе амортизационное  отчисления</t>
  </si>
  <si>
    <t>5</t>
  </si>
  <si>
    <t>Расходы  периода</t>
  </si>
  <si>
    <t>6</t>
  </si>
  <si>
    <t>Финансовые расходы</t>
  </si>
  <si>
    <t>7</t>
  </si>
  <si>
    <t>8</t>
  </si>
  <si>
    <t>Прибыль  до уплаты  налога на прибыль</t>
  </si>
  <si>
    <t>9</t>
  </si>
  <si>
    <t>Затраты  , обратно включ, в нологооблагаемую  базу</t>
  </si>
  <si>
    <t>10</t>
  </si>
  <si>
    <t>Уменьшение   налогоблаемой базы</t>
  </si>
  <si>
    <t>11</t>
  </si>
  <si>
    <t>Налогоблагаемая  база</t>
  </si>
  <si>
    <t>12</t>
  </si>
  <si>
    <t>Налог на прибыль</t>
  </si>
  <si>
    <t>13</t>
  </si>
  <si>
    <t>14</t>
  </si>
  <si>
    <t>15</t>
  </si>
  <si>
    <t>Финансовые  ресурсы , всего</t>
  </si>
  <si>
    <t xml:space="preserve">прибыль </t>
  </si>
  <si>
    <t>бюджетные  средства</t>
  </si>
  <si>
    <t>акцизный  налог</t>
  </si>
  <si>
    <t>собственные средства заказчика  ( АК " Узнефтегаздобыча")</t>
  </si>
  <si>
    <t xml:space="preserve">за счет инвесторов </t>
  </si>
  <si>
    <t>перераспределение прибыли ( НХК " Узбекнефтегаз")</t>
  </si>
  <si>
    <t>ЕФСиР</t>
  </si>
  <si>
    <t>16</t>
  </si>
  <si>
    <t>Потребность в финансовых ресурсах</t>
  </si>
  <si>
    <t>16.1</t>
  </si>
  <si>
    <t>Геологоразведочные работы  всего</t>
  </si>
  <si>
    <t xml:space="preserve">  - параметрическое  и поисковоразведочное  бурение</t>
  </si>
  <si>
    <t xml:space="preserve"> - геофизические  работы</t>
  </si>
  <si>
    <t xml:space="preserve"> - оборудование  не входящие в сметы строек</t>
  </si>
  <si>
    <t xml:space="preserve"> - из них приобретаемые Китайские буровые станки , согласно</t>
  </si>
  <si>
    <t>Постановления  КМ РУз № 617 от 6.04.2007 г.</t>
  </si>
  <si>
    <t xml:space="preserve"> - буровое, геофизические  оборудование, спецтранспорт,</t>
  </si>
  <si>
    <t xml:space="preserve"> - непромстроительство</t>
  </si>
  <si>
    <t xml:space="preserve"> - за счет  собственных средств  </t>
  </si>
  <si>
    <t>16.2</t>
  </si>
  <si>
    <t>Капитальное  строительство</t>
  </si>
  <si>
    <t xml:space="preserve"> - эксплуатационное  бурение</t>
  </si>
  <si>
    <t xml:space="preserve"> - прочие</t>
  </si>
  <si>
    <t>16.3</t>
  </si>
  <si>
    <t>Погащение  кредитов - всего</t>
  </si>
  <si>
    <t xml:space="preserve"> - валютных кредитов Нацбанка</t>
  </si>
  <si>
    <t xml:space="preserve"> - погащение  иностранных  кредитов</t>
  </si>
  <si>
    <t xml:space="preserve"> - кредиты  Минфина</t>
  </si>
  <si>
    <t>17</t>
  </si>
  <si>
    <t>Всего  кап. вложений</t>
  </si>
  <si>
    <t>18</t>
  </si>
  <si>
    <t>Результат (+; -;)     ( недостатка средств)</t>
  </si>
  <si>
    <t>- Отчисления от доходов в дорожный фонд 1,4%</t>
  </si>
  <si>
    <t>АО"БНГАН"</t>
  </si>
  <si>
    <t>АО " БНГАН"</t>
  </si>
  <si>
    <t>1 кв.</t>
  </si>
  <si>
    <t>2 кв.</t>
  </si>
  <si>
    <t>3 кв.</t>
  </si>
  <si>
    <t>4 кв.</t>
  </si>
  <si>
    <t>2.3.9. Выплаты, не учитывающиеся при начислении заработной платы</t>
  </si>
  <si>
    <t>Материальные затраты</t>
  </si>
  <si>
    <t>АО "Бухоронефтгазавтонакл":</t>
  </si>
  <si>
    <t>Затраты на объязательное страхование работников и произ. Фондов</t>
  </si>
  <si>
    <t>- компенсация питания</t>
  </si>
  <si>
    <t xml:space="preserve">МП по больничным листам </t>
  </si>
  <si>
    <t xml:space="preserve">2.3.9.4. МП  при   операциях  и  длительных заболеваниях работающим оказывать полную или частичную но не  ниже 50.0 %  по предоставлению соответствующих  документов </t>
  </si>
  <si>
    <t>транспорт. услуги</t>
  </si>
  <si>
    <t xml:space="preserve"> МП  на  погребение  работающим  и близким  родственникам (родители, дети) и наших пенсионеров.</t>
  </si>
  <si>
    <t>Налоги в местный  бюджет</t>
  </si>
  <si>
    <t>1.2.</t>
  </si>
  <si>
    <t>Финансовые доходы</t>
  </si>
  <si>
    <t>ИТОГО: по АУП</t>
  </si>
  <si>
    <t>- Отчисления на школьную реформу 0,5%</t>
  </si>
  <si>
    <t>- Отчисление в пенсионный фонд 1,6%</t>
  </si>
  <si>
    <t>- Налог на землю</t>
  </si>
  <si>
    <t>Прогнозный расчет финансовых ресурсов</t>
  </si>
  <si>
    <t>Налог на инфраструктуру ( 8% )</t>
  </si>
  <si>
    <t>- Оплата за особо важное задание</t>
  </si>
  <si>
    <t>- Компенсация  на учеб.  работ. имеющих детей  школ.возраста (1 мин)</t>
  </si>
  <si>
    <t xml:space="preserve"> МП пенсионерам бывшим работникам на лекарство </t>
  </si>
  <si>
    <t>- Оплата путевок в оздоровительные лагеря</t>
  </si>
  <si>
    <t>Затраты на содержание служебной легковой автомашины. Всего:</t>
  </si>
  <si>
    <t>I кв.</t>
  </si>
  <si>
    <t>II кв.</t>
  </si>
  <si>
    <t>III кв.</t>
  </si>
  <si>
    <t>IV кв.</t>
  </si>
  <si>
    <t>Машино-часы в наряде</t>
  </si>
  <si>
    <t>Коэффициент использования парка</t>
  </si>
  <si>
    <t>Коэффициент технического готовности</t>
  </si>
  <si>
    <t>Средняя продолжительность рабочего дня а/м</t>
  </si>
  <si>
    <t>Среднесуточный пробег</t>
  </si>
  <si>
    <t>Расходы</t>
  </si>
  <si>
    <t>Валовая прибыль</t>
  </si>
  <si>
    <t>Фонд заработной платы</t>
  </si>
  <si>
    <t>Численность, всего</t>
  </si>
  <si>
    <t xml:space="preserve">В том числе - основная деятельность </t>
  </si>
  <si>
    <t>Среднемесячная зарплата</t>
  </si>
  <si>
    <t>Производительность труда в сум дохода</t>
  </si>
  <si>
    <t>Производительность труда в часах наряде</t>
  </si>
  <si>
    <t>Себестоимость 10 ед. машин-час</t>
  </si>
  <si>
    <t>Рентабельность (от валовой прибыли)</t>
  </si>
  <si>
    <t>%</t>
  </si>
  <si>
    <t>Затраты на лицензию а/м</t>
  </si>
  <si>
    <t>Затраты на командировки в пределах установленных норм.</t>
  </si>
  <si>
    <t>- за путевки на лечение и отдых</t>
  </si>
  <si>
    <t>Социальные выплаты</t>
  </si>
  <si>
    <t>- Услуги банка</t>
  </si>
  <si>
    <t>Нематериальные услуги. Из них:</t>
  </si>
  <si>
    <t>- Депозитарий</t>
  </si>
  <si>
    <t>- Оплата аудиторских, консалтинговых, брокерских услуг</t>
  </si>
  <si>
    <t>Расходы на развитие производства</t>
  </si>
  <si>
    <t>Платежи в бюджет. Из них:</t>
  </si>
  <si>
    <t>2.3.9.1.  Расходы на выплату  ежемесячного пособия  по уходу  за ребенком по  достижению 2х-летнего  возраста  в соответствии  с законодательством.</t>
  </si>
  <si>
    <t xml:space="preserve"> Премия  на юбилей (50 лет) – 1 долж.оклад</t>
  </si>
  <si>
    <t xml:space="preserve"> Премия на юбилей (60 лет) – 1 долж.оклад</t>
  </si>
  <si>
    <t xml:space="preserve">   ВСЕГО социальных выплат:</t>
  </si>
  <si>
    <t>"УТВЕРЖДАЮ"</t>
  </si>
  <si>
    <t>(млн.сум)</t>
  </si>
  <si>
    <t>Материалы</t>
  </si>
  <si>
    <t>Больничные</t>
  </si>
  <si>
    <t>Прочие затраты</t>
  </si>
  <si>
    <t>1.2</t>
  </si>
  <si>
    <t>1.3</t>
  </si>
  <si>
    <t>1.4</t>
  </si>
  <si>
    <t>1.5</t>
  </si>
  <si>
    <t>2.1</t>
  </si>
  <si>
    <t>2.2</t>
  </si>
  <si>
    <t>2.3</t>
  </si>
  <si>
    <t>6.1</t>
  </si>
  <si>
    <t>6.2</t>
  </si>
  <si>
    <t>6.3</t>
  </si>
  <si>
    <t>6.4</t>
  </si>
  <si>
    <t xml:space="preserve">Водоснабжение </t>
  </si>
  <si>
    <t>3.1</t>
  </si>
  <si>
    <t>3.2</t>
  </si>
  <si>
    <t>3.3</t>
  </si>
  <si>
    <t>3.4</t>
  </si>
  <si>
    <t>3.5</t>
  </si>
  <si>
    <t xml:space="preserve"> Премия к первому бракосочетанию</t>
  </si>
  <si>
    <t>- 9-е  мая (1 мин)</t>
  </si>
  <si>
    <t>2.3.9.2.  Надбавки к пенсии, единовременное пособие, уходящим на пенсию по старости ветеранам</t>
  </si>
  <si>
    <t>Показатели баланса доходов и расходов</t>
  </si>
  <si>
    <t>- Плата за воду</t>
  </si>
  <si>
    <t xml:space="preserve"> - спецтехника и др. оборудование</t>
  </si>
  <si>
    <t xml:space="preserve"> Председатель правления</t>
  </si>
  <si>
    <t>Председатель правления АО "БНГАН"</t>
  </si>
  <si>
    <t>Вед.спец. Э и ЗП :</t>
  </si>
  <si>
    <t>Председатель правления</t>
  </si>
  <si>
    <t>Машино-часы в наряде             час</t>
  </si>
  <si>
    <t>Прочее</t>
  </si>
  <si>
    <t xml:space="preserve">Председатель правления </t>
  </si>
  <si>
    <t>Вед.спец Э и ЗП :</t>
  </si>
  <si>
    <t>Главный бухгалтер :</t>
  </si>
  <si>
    <t>Общий пробег     км</t>
  </si>
  <si>
    <t>ед. изм.</t>
  </si>
  <si>
    <t>тыс.час</t>
  </si>
  <si>
    <t>коэф.</t>
  </si>
  <si>
    <t>час</t>
  </si>
  <si>
    <t>км</t>
  </si>
  <si>
    <t>чел.</t>
  </si>
  <si>
    <t>сум</t>
  </si>
  <si>
    <t>тыс.сум</t>
  </si>
  <si>
    <t>в том числе аморт. отчисление</t>
  </si>
  <si>
    <t xml:space="preserve">Отчисления на соц. страх 12 %   </t>
  </si>
  <si>
    <t>Отчисление на соц.страх. 12%</t>
  </si>
  <si>
    <t>- премия  по итогам  года  с начис.–12 %(13-я)</t>
  </si>
  <si>
    <t>- выслуга лет с начислением – 12 %</t>
  </si>
  <si>
    <t>Начисление на соц.страх 12 %</t>
  </si>
  <si>
    <t xml:space="preserve">ФОТ </t>
  </si>
  <si>
    <t>Платежи во внебюджетные фонды 12% :</t>
  </si>
  <si>
    <t>Налог на прибыль ( 15% )</t>
  </si>
  <si>
    <t xml:space="preserve"> МП  пенсионерам на  сельхоз продукты (1 БРВ)</t>
  </si>
  <si>
    <t>Прочие (оплата ремонта а/т,экспертиза,ЛГН,страхование а/т и т.д.)</t>
  </si>
  <si>
    <t>Прочие (ремонт оргтехники, кондиционеров,хоз.принадлежности и т.д.)</t>
  </si>
  <si>
    <t>Газоснабжение</t>
  </si>
  <si>
    <t>- Прочее (оформление кредитов, убытки от списания ОС, комисс.сбор и т.д.)</t>
  </si>
  <si>
    <r>
      <t>Прочие расходы периода(</t>
    </r>
    <r>
      <rPr>
        <sz val="10"/>
        <rFont val="Arial Cyr"/>
        <family val="0"/>
      </rPr>
      <t>объявления,почтовые расходы,услуги вебсайта и т.д.)</t>
    </r>
  </si>
  <si>
    <t>Налог на добавленную стоимость</t>
  </si>
  <si>
    <t xml:space="preserve">И.о. Главного бухгалтера : </t>
  </si>
  <si>
    <t>Режим работы в часах</t>
  </si>
  <si>
    <t>скорр.план</t>
  </si>
  <si>
    <t>- премия к празднику Курбан-хайит (2 БРВ)</t>
  </si>
  <si>
    <t>- премия к празднику Руза-хайит (2 БРВ)</t>
  </si>
  <si>
    <t>- премия ко дню Конституции (2 БРВ)</t>
  </si>
  <si>
    <t xml:space="preserve">    ___________________Х.Т. Саидов</t>
  </si>
  <si>
    <t xml:space="preserve">К.К. Нарзуллаев </t>
  </si>
  <si>
    <t>С.Ю. Лештаева</t>
  </si>
  <si>
    <t>Ср. сут. пробег,км</t>
  </si>
  <si>
    <t>Машино-дни в</t>
  </si>
  <si>
    <t>Ремонте</t>
  </si>
  <si>
    <t xml:space="preserve">Х.Т. Саидов </t>
  </si>
  <si>
    <t>Основных технико-экономических показателей на 2023 г. по АО «БНГАН».</t>
  </si>
  <si>
    <t>СГ</t>
  </si>
  <si>
    <t>План технико-экономических показателей  по АО "БНГАН" на 2023 год.</t>
  </si>
  <si>
    <t>План на 2023 г.</t>
  </si>
  <si>
    <t>2023 год</t>
  </si>
  <si>
    <t xml:space="preserve">включаемые в производственную себестоимость на 2023 год по АО "Бухоронефтгазавтонакл" </t>
  </si>
  <si>
    <t>План 2023 г.</t>
  </si>
  <si>
    <t xml:space="preserve">Амортизация основных средств   </t>
  </si>
  <si>
    <t>на содержание А У П на 2023 год по АО "Бухоронефтгазавтонакл"</t>
  </si>
  <si>
    <t>прочие операционные затраты на 2023 год по АО "Бухоронефтгазавтонакл"</t>
  </si>
  <si>
    <t>- премия к празднику 8-е марта (11 чел. 5 БРВ)</t>
  </si>
  <si>
    <t>доходов и расходов (финплан) по АО "БНГАН" на 2023 год</t>
  </si>
  <si>
    <t>План         2023 год</t>
  </si>
  <si>
    <t>- премия к празднику Навруз (2 БРВ)</t>
  </si>
  <si>
    <t>- премия к празднику Мустакиллик (2 БРВ)</t>
  </si>
  <si>
    <t>- премия к Дню Автомобилиста (2 БРВ)</t>
  </si>
  <si>
    <t>- на сельхоз продукты (2 БРВ)</t>
  </si>
  <si>
    <t xml:space="preserve">     "  ___   "     ноября       2022 г.</t>
  </si>
  <si>
    <t>План на 2023 год</t>
  </si>
  <si>
    <r>
      <t xml:space="preserve">     "</t>
    </r>
    <r>
      <rPr>
        <b/>
        <u val="single"/>
        <sz val="11"/>
        <rFont val="Arial Cyr"/>
        <family val="0"/>
      </rPr>
      <t xml:space="preserve">      </t>
    </r>
    <r>
      <rPr>
        <b/>
        <sz val="11"/>
        <rFont val="Arial Cyr"/>
        <family val="0"/>
      </rPr>
      <t xml:space="preserve">" </t>
    </r>
    <r>
      <rPr>
        <b/>
        <u val="single"/>
        <sz val="11"/>
        <rFont val="Arial Cyr"/>
        <family val="0"/>
      </rPr>
      <t xml:space="preserve">    ноября      </t>
    </r>
    <r>
      <rPr>
        <b/>
        <sz val="11"/>
        <rFont val="Arial Cyr"/>
        <family val="0"/>
      </rPr>
      <t xml:space="preserve"> 2022 г.</t>
    </r>
  </si>
  <si>
    <r>
      <t>"</t>
    </r>
    <r>
      <rPr>
        <b/>
        <u val="single"/>
        <sz val="11"/>
        <rFont val="Arial"/>
        <family val="2"/>
      </rPr>
      <t xml:space="preserve"> ___ </t>
    </r>
    <r>
      <rPr>
        <b/>
        <sz val="11"/>
        <rFont val="Arial"/>
        <family val="2"/>
      </rPr>
      <t xml:space="preserve">" </t>
    </r>
    <r>
      <rPr>
        <b/>
        <u val="single"/>
        <sz val="11"/>
        <rFont val="Arial"/>
        <family val="2"/>
      </rPr>
      <t xml:space="preserve">   ноября     </t>
    </r>
    <r>
      <rPr>
        <b/>
        <sz val="11"/>
        <rFont val="Arial"/>
        <family val="2"/>
      </rPr>
      <t>2022 года</t>
    </r>
  </si>
  <si>
    <r>
      <t>"</t>
    </r>
    <r>
      <rPr>
        <b/>
        <u val="single"/>
        <sz val="11"/>
        <rFont val="Arial"/>
        <family val="2"/>
      </rPr>
      <t xml:space="preserve">  ___  </t>
    </r>
    <r>
      <rPr>
        <b/>
        <sz val="11"/>
        <rFont val="Arial"/>
        <family val="2"/>
      </rPr>
      <t xml:space="preserve">" </t>
    </r>
    <r>
      <rPr>
        <b/>
        <u val="single"/>
        <sz val="11"/>
        <rFont val="Arial"/>
        <family val="2"/>
      </rPr>
      <t xml:space="preserve">   ноября     </t>
    </r>
    <r>
      <rPr>
        <b/>
        <sz val="11"/>
        <rFont val="Arial"/>
        <family val="2"/>
      </rPr>
      <t>2022 года</t>
    </r>
  </si>
  <si>
    <r>
      <t xml:space="preserve">"___" </t>
    </r>
    <r>
      <rPr>
        <b/>
        <u val="single"/>
        <sz val="11"/>
        <rFont val="Arial"/>
        <family val="2"/>
      </rPr>
      <t xml:space="preserve">   ноября     </t>
    </r>
    <r>
      <rPr>
        <b/>
        <sz val="11"/>
        <rFont val="Arial"/>
        <family val="2"/>
      </rPr>
      <t>2022 года</t>
    </r>
  </si>
  <si>
    <t>по АО "БНГАН" на 2023 год</t>
  </si>
</sst>
</file>

<file path=xl/styles.xml><?xml version="1.0" encoding="utf-8"?>
<styleSheet xmlns="http://schemas.openxmlformats.org/spreadsheetml/2006/main">
  <numFmts count="34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\ _с_ў_м_-;\-* #,##0\ _с_ў_м_-;_-* &quot;-&quot;\ _с_ў_м_-;_-@_-"/>
    <numFmt numFmtId="44" formatCode="_-* #,##0.00\ &quot;сўм&quot;_-;\-* #,##0.00\ &quot;сўм&quot;_-;_-* &quot;-&quot;??\ &quot;сўм&quot;_-;_-@_-"/>
    <numFmt numFmtId="43" formatCode="_-* #,##0.00\ _с_ў_м_-;\-* #,##0.00\ _с_ў_м_-;_-* &quot;-&quot;??\ _с_ў_м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0"/>
    <numFmt numFmtId="175" formatCode="0.000"/>
    <numFmt numFmtId="176" formatCode="_(&quot;$&quot;* #,##0.00_);_(&quot;$&quot;* \(#,##0.00\);_(&quot;$&quot;* &quot;-&quot;??_);_(@_)"/>
    <numFmt numFmtId="177" formatCode="0.00000"/>
    <numFmt numFmtId="178" formatCode="_-* #,##0.0_р_._-;\-* #,##0.0_р_._-;_-* &quot;-&quot;??_р_._-;_-@_-"/>
    <numFmt numFmtId="179" formatCode="_-* #,##0_р_._-;\-* #,##0_р_._-;_-* &quot;-&quot;??_р_._-;_-@_-"/>
    <numFmt numFmtId="180" formatCode="0.000000"/>
    <numFmt numFmtId="181" formatCode="#,##0.0"/>
    <numFmt numFmtId="182" formatCode="#,##0.000"/>
    <numFmt numFmtId="183" formatCode="0.0000000"/>
    <numFmt numFmtId="184" formatCode="0.00000000"/>
    <numFmt numFmtId="185" formatCode="0.000000000"/>
    <numFmt numFmtId="186" formatCode="_-* #,##0.0_р_._-;\-* #,##0.0_р_._-;_-* &quot;-&quot;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#,##0.0000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3"/>
      <name val="Arial Cyr"/>
      <family val="0"/>
    </font>
    <font>
      <b/>
      <sz val="13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Monotype Corsiva"/>
      <family val="4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color indexed="9"/>
      <name val="Arial Cyr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u val="single"/>
      <sz val="11"/>
      <name val="Arial Cyr"/>
      <family val="0"/>
    </font>
    <font>
      <b/>
      <i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i/>
      <sz val="10"/>
      <color indexed="9"/>
      <name val="Monotype Corsiva"/>
      <family val="4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 Cyr"/>
      <family val="2"/>
    </font>
    <font>
      <b/>
      <sz val="10"/>
      <color indexed="10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8" fillId="0" borderId="15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11" fillId="0" borderId="10" xfId="4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2" fontId="1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left" vertical="top" textRotation="180" wrapText="1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 textRotation="180" wrapText="1"/>
    </xf>
    <xf numFmtId="3" fontId="0" fillId="0" borderId="10" xfId="0" applyNumberForma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5" fillId="0" borderId="10" xfId="54" applyFont="1" applyFill="1" applyBorder="1">
      <alignment/>
      <protection/>
    </xf>
    <xf numFmtId="0" fontId="6" fillId="0" borderId="10" xfId="0" applyFont="1" applyFill="1" applyBorder="1" applyAlignment="1">
      <alignment horizontal="left"/>
    </xf>
    <xf numFmtId="0" fontId="16" fillId="0" borderId="0" xfId="42" applyFill="1" applyBorder="1" applyAlignment="1" applyProtection="1">
      <alignment/>
      <protection/>
    </xf>
    <xf numFmtId="179" fontId="0" fillId="0" borderId="0" xfId="6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" fontId="3" fillId="0" borderId="18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left" vertical="top" textRotation="180" wrapText="1"/>
    </xf>
    <xf numFmtId="1" fontId="1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23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/>
    </xf>
    <xf numFmtId="3" fontId="11" fillId="0" borderId="10" xfId="0" applyNumberFormat="1" applyFont="1" applyFill="1" applyBorder="1" applyAlignment="1">
      <alignment horizontal="left"/>
    </xf>
    <xf numFmtId="3" fontId="0" fillId="0" borderId="24" xfId="0" applyNumberFormat="1" applyFill="1" applyBorder="1" applyAlignment="1">
      <alignment horizontal="left"/>
    </xf>
    <xf numFmtId="0" fontId="20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"/>
    </xf>
    <xf numFmtId="189" fontId="0" fillId="0" borderId="0" xfId="0" applyNumberFormat="1" applyFill="1" applyAlignment="1">
      <alignment/>
    </xf>
    <xf numFmtId="189" fontId="0" fillId="0" borderId="0" xfId="0" applyNumberFormat="1" applyFont="1" applyFill="1" applyAlignment="1">
      <alignment/>
    </xf>
    <xf numFmtId="189" fontId="3" fillId="0" borderId="18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center" vertical="center"/>
    </xf>
    <xf numFmtId="189" fontId="0" fillId="0" borderId="18" xfId="0" applyNumberFormat="1" applyFont="1" applyFill="1" applyBorder="1" applyAlignment="1">
      <alignment horizontal="right"/>
    </xf>
    <xf numFmtId="182" fontId="0" fillId="0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44" fillId="0" borderId="0" xfId="53" applyNumberFormat="1" applyFont="1" applyFill="1" applyBorder="1" applyAlignment="1">
      <alignment horizontal="center" wrapText="1"/>
      <protection/>
    </xf>
    <xf numFmtId="3" fontId="44" fillId="0" borderId="0" xfId="53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3" fontId="18" fillId="0" borderId="0" xfId="53" applyNumberFormat="1" applyFont="1" applyFill="1" applyBorder="1" applyAlignment="1">
      <alignment horizontal="center"/>
      <protection/>
    </xf>
    <xf numFmtId="0" fontId="45" fillId="0" borderId="0" xfId="0" applyFont="1" applyFill="1" applyBorder="1" applyAlignment="1">
      <alignment horizontal="center" vertical="center"/>
    </xf>
    <xf numFmtId="3" fontId="18" fillId="0" borderId="0" xfId="53" applyNumberFormat="1" applyFont="1" applyFill="1" applyBorder="1" applyAlignment="1">
      <alignment horizontal="center" wrapText="1"/>
      <protection/>
    </xf>
    <xf numFmtId="181" fontId="18" fillId="0" borderId="0" xfId="53" applyNumberFormat="1" applyFont="1" applyFill="1" applyBorder="1" applyAlignment="1">
      <alignment horizontal="center" wrapText="1"/>
      <protection/>
    </xf>
    <xf numFmtId="181" fontId="1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182" fontId="44" fillId="0" borderId="0" xfId="53" applyNumberFormat="1" applyFont="1" applyFill="1" applyBorder="1" applyAlignment="1">
      <alignment horizontal="center"/>
      <protection/>
    </xf>
    <xf numFmtId="189" fontId="0" fillId="0" borderId="0" xfId="0" applyNumberFormat="1" applyFill="1" applyAlignment="1">
      <alignment horizontal="right"/>
    </xf>
    <xf numFmtId="0" fontId="16" fillId="0" borderId="0" xfId="42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3" fontId="50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/>
    </xf>
    <xf numFmtId="3" fontId="54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/>
    </xf>
    <xf numFmtId="189" fontId="0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/>
    </xf>
    <xf numFmtId="3" fontId="50" fillId="0" borderId="0" xfId="53" applyNumberFormat="1" applyFont="1" applyFill="1" applyBorder="1" applyAlignment="1">
      <alignment horizontal="center"/>
      <protection/>
    </xf>
    <xf numFmtId="3" fontId="0" fillId="0" borderId="24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88" fontId="0" fillId="0" borderId="0" xfId="62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179" fontId="0" fillId="0" borderId="0" xfId="62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3" fontId="5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173" fontId="57" fillId="0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3" fontId="57" fillId="0" borderId="10" xfId="0" applyNumberFormat="1" applyFont="1" applyFill="1" applyBorder="1" applyAlignment="1">
      <alignment vertical="top" wrapText="1"/>
    </xf>
    <xf numFmtId="3" fontId="57" fillId="0" borderId="10" xfId="0" applyNumberFormat="1" applyFont="1" applyFill="1" applyBorder="1" applyAlignment="1">
      <alignment horizontal="center" vertical="top" wrapText="1"/>
    </xf>
    <xf numFmtId="4" fontId="57" fillId="0" borderId="10" xfId="0" applyNumberFormat="1" applyFont="1" applyFill="1" applyBorder="1" applyAlignment="1">
      <alignment horizontal="center" vertical="top" wrapText="1"/>
    </xf>
    <xf numFmtId="181" fontId="57" fillId="0" borderId="10" xfId="0" applyNumberFormat="1" applyFont="1" applyFill="1" applyBorder="1" applyAlignment="1">
      <alignment horizontal="center" vertical="top" wrapText="1"/>
    </xf>
    <xf numFmtId="3" fontId="57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181" fontId="23" fillId="0" borderId="10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vertical="top" wrapText="1"/>
    </xf>
    <xf numFmtId="3" fontId="57" fillId="0" borderId="0" xfId="0" applyNumberFormat="1" applyFont="1" applyFill="1" applyBorder="1" applyAlignment="1">
      <alignment horizontal="center" vertical="top" wrapText="1"/>
    </xf>
    <xf numFmtId="4" fontId="57" fillId="0" borderId="0" xfId="0" applyNumberFormat="1" applyFont="1" applyFill="1" applyBorder="1" applyAlignment="1">
      <alignment horizontal="center" vertical="top" wrapText="1"/>
    </xf>
    <xf numFmtId="181" fontId="57" fillId="0" borderId="0" xfId="0" applyNumberFormat="1" applyFont="1" applyFill="1" applyBorder="1" applyAlignment="1">
      <alignment horizontal="center" vertical="top" wrapText="1"/>
    </xf>
    <xf numFmtId="3" fontId="57" fillId="0" borderId="0" xfId="0" applyNumberFormat="1" applyFont="1" applyFill="1" applyBorder="1" applyAlignment="1">
      <alignment horizontal="right" vertical="top" wrapText="1"/>
    </xf>
    <xf numFmtId="3" fontId="57" fillId="0" borderId="0" xfId="0" applyNumberFormat="1" applyFont="1" applyFill="1" applyBorder="1" applyAlignment="1">
      <alignment horizontal="left" vertical="top" textRotation="180" wrapText="1"/>
    </xf>
    <xf numFmtId="3" fontId="57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/>
    </xf>
    <xf numFmtId="181" fontId="57" fillId="0" borderId="0" xfId="0" applyNumberFormat="1" applyFont="1" applyFill="1" applyBorder="1" applyAlignment="1">
      <alignment vertical="top" wrapText="1"/>
    </xf>
    <xf numFmtId="3" fontId="15" fillId="0" borderId="0" xfId="0" applyNumberFormat="1" applyFont="1" applyFill="1" applyAlignment="1">
      <alignment wrapText="1"/>
    </xf>
    <xf numFmtId="3" fontId="58" fillId="0" borderId="0" xfId="0" applyNumberFormat="1" applyFont="1" applyFill="1" applyAlignment="1">
      <alignment wrapText="1"/>
    </xf>
    <xf numFmtId="4" fontId="58" fillId="0" borderId="0" xfId="0" applyNumberFormat="1" applyFont="1" applyFill="1" applyAlignment="1">
      <alignment wrapText="1"/>
    </xf>
    <xf numFmtId="3" fontId="58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3" fontId="23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43" applyNumberFormat="1" applyFont="1" applyFill="1" applyBorder="1" applyAlignment="1">
      <alignment horizontal="center" vertical="center" wrapText="1"/>
    </xf>
    <xf numFmtId="170" fontId="11" fillId="0" borderId="10" xfId="43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/>
    </xf>
    <xf numFmtId="49" fontId="0" fillId="0" borderId="24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0" fillId="0" borderId="27" xfId="0" applyNumberForma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24" xfId="0" applyNumberFormat="1" applyFill="1" applyBorder="1" applyAlignment="1">
      <alignment horizontal="left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25" xfId="0" applyNumberFormat="1" applyFill="1" applyBorder="1" applyAlignment="1">
      <alignment horizontal="left" vertical="center" wrapText="1"/>
    </xf>
    <xf numFmtId="3" fontId="11" fillId="0" borderId="24" xfId="0" applyNumberFormat="1" applyFont="1" applyFill="1" applyBorder="1" applyAlignment="1">
      <alignment horizontal="left" vertical="center" wrapText="1"/>
    </xf>
    <xf numFmtId="3" fontId="11" fillId="0" borderId="26" xfId="0" applyNumberFormat="1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right" vertical="center"/>
    </xf>
    <xf numFmtId="0" fontId="5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top" wrapText="1"/>
    </xf>
    <xf numFmtId="3" fontId="23" fillId="0" borderId="24" xfId="0" applyNumberFormat="1" applyFont="1" applyFill="1" applyBorder="1" applyAlignment="1">
      <alignment horizontal="center" vertical="top" wrapText="1"/>
    </xf>
    <xf numFmtId="3" fontId="23" fillId="0" borderId="26" xfId="0" applyNumberFormat="1" applyFont="1" applyFill="1" applyBorder="1" applyAlignment="1">
      <alignment horizontal="center" vertical="top" wrapText="1"/>
    </xf>
    <xf numFmtId="3" fontId="23" fillId="0" borderId="25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ш.пер." xfId="53"/>
    <cellStyle name="Обычный_Финплан_рас.бал. с факто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T59"/>
  <sheetViews>
    <sheetView zoomScale="115" zoomScaleNormal="115" zoomScalePageLayoutView="0" workbookViewId="0" topLeftCell="A1">
      <selection activeCell="C5" sqref="C5"/>
    </sheetView>
  </sheetViews>
  <sheetFormatPr defaultColWidth="9.00390625" defaultRowHeight="12.75"/>
  <cols>
    <col min="1" max="1" width="4.875" style="161" customWidth="1"/>
    <col min="2" max="2" width="39.125" style="66" customWidth="1"/>
    <col min="3" max="3" width="11.625" style="11" customWidth="1"/>
    <col min="4" max="4" width="10.625" style="11" customWidth="1"/>
    <col min="5" max="5" width="10.75390625" style="45" customWidth="1"/>
    <col min="6" max="6" width="9.625" style="11" customWidth="1"/>
    <col min="7" max="7" width="9.875" style="11" customWidth="1"/>
    <col min="8" max="8" width="9.125" style="11" customWidth="1"/>
    <col min="9" max="9" width="16.75390625" style="11" customWidth="1"/>
    <col min="10" max="13" width="12.625" style="11" bestFit="1" customWidth="1"/>
    <col min="14" max="16384" width="9.125" style="11" customWidth="1"/>
  </cols>
  <sheetData>
    <row r="1" spans="3:7" ht="15">
      <c r="C1" s="352" t="s">
        <v>250</v>
      </c>
      <c r="D1" s="352"/>
      <c r="E1" s="352"/>
      <c r="F1" s="352"/>
      <c r="G1" s="352"/>
    </row>
    <row r="2" spans="3:7" ht="15">
      <c r="C2" s="352" t="s">
        <v>279</v>
      </c>
      <c r="D2" s="352"/>
      <c r="E2" s="352"/>
      <c r="F2" s="352"/>
      <c r="G2" s="352"/>
    </row>
    <row r="3" spans="3:7" ht="15">
      <c r="C3" s="352" t="s">
        <v>318</v>
      </c>
      <c r="D3" s="352"/>
      <c r="E3" s="352"/>
      <c r="F3" s="352"/>
      <c r="G3" s="352"/>
    </row>
    <row r="4" spans="3:7" ht="15">
      <c r="C4" s="352" t="s">
        <v>344</v>
      </c>
      <c r="D4" s="352"/>
      <c r="E4" s="352"/>
      <c r="F4" s="352"/>
      <c r="G4" s="352"/>
    </row>
    <row r="6" spans="1:7" ht="14.25" customHeight="1">
      <c r="A6" s="350" t="s">
        <v>19</v>
      </c>
      <c r="B6" s="350"/>
      <c r="C6" s="350"/>
      <c r="D6" s="350"/>
      <c r="E6" s="350"/>
      <c r="F6" s="350"/>
      <c r="G6" s="350"/>
    </row>
    <row r="7" spans="1:7" ht="14.25" customHeight="1">
      <c r="A7" s="350" t="s">
        <v>336</v>
      </c>
      <c r="B7" s="350"/>
      <c r="C7" s="350"/>
      <c r="D7" s="350"/>
      <c r="E7" s="350"/>
      <c r="F7" s="350"/>
      <c r="G7" s="350"/>
    </row>
    <row r="8" spans="5:7" ht="14.25">
      <c r="E8" s="351" t="s">
        <v>251</v>
      </c>
      <c r="F8" s="351"/>
      <c r="G8" s="351"/>
    </row>
    <row r="9" spans="1:7" ht="14.25" customHeight="1">
      <c r="A9" s="354" t="s">
        <v>1</v>
      </c>
      <c r="B9" s="356" t="s">
        <v>275</v>
      </c>
      <c r="C9" s="358" t="s">
        <v>337</v>
      </c>
      <c r="D9" s="347" t="s">
        <v>83</v>
      </c>
      <c r="E9" s="348"/>
      <c r="F9" s="348"/>
      <c r="G9" s="349"/>
    </row>
    <row r="10" spans="1:7" ht="12.75">
      <c r="A10" s="355"/>
      <c r="B10" s="357"/>
      <c r="C10" s="357"/>
      <c r="D10" s="228" t="s">
        <v>189</v>
      </c>
      <c r="E10" s="229" t="s">
        <v>190</v>
      </c>
      <c r="F10" s="228" t="s">
        <v>191</v>
      </c>
      <c r="G10" s="228" t="s">
        <v>192</v>
      </c>
    </row>
    <row r="11" spans="1:7" ht="12.75">
      <c r="A11" s="162">
        <v>1</v>
      </c>
      <c r="B11" s="163">
        <v>2</v>
      </c>
      <c r="C11" s="163">
        <v>3</v>
      </c>
      <c r="D11" s="163">
        <v>4</v>
      </c>
      <c r="E11" s="95">
        <v>5</v>
      </c>
      <c r="F11" s="163">
        <v>6</v>
      </c>
      <c r="G11" s="163">
        <v>7</v>
      </c>
    </row>
    <row r="12" spans="1:9" ht="15" customHeight="1">
      <c r="A12" s="162"/>
      <c r="B12" s="164" t="s">
        <v>26</v>
      </c>
      <c r="C12" s="165">
        <f>C13+C16+C18</f>
        <v>12320</v>
      </c>
      <c r="D12" s="165">
        <f>D13+D16+D18</f>
        <v>3080</v>
      </c>
      <c r="E12" s="165">
        <f>E13+E16+E18</f>
        <v>3080</v>
      </c>
      <c r="F12" s="165">
        <f>F13+F16+F18</f>
        <v>3080</v>
      </c>
      <c r="G12" s="165">
        <f>G13+G16+G18</f>
        <v>3080</v>
      </c>
      <c r="I12" s="284"/>
    </row>
    <row r="13" spans="1:9" ht="15" customHeight="1">
      <c r="A13" s="166" t="s">
        <v>34</v>
      </c>
      <c r="B13" s="164" t="s">
        <v>33</v>
      </c>
      <c r="C13" s="266">
        <f>C14+C17</f>
        <v>11000</v>
      </c>
      <c r="D13" s="266">
        <f>D14+D17</f>
        <v>2750</v>
      </c>
      <c r="E13" s="266">
        <f>E14+E17</f>
        <v>2750</v>
      </c>
      <c r="F13" s="266">
        <f>F14+F17</f>
        <v>2750</v>
      </c>
      <c r="G13" s="266">
        <f>G14+G17</f>
        <v>2750</v>
      </c>
      <c r="I13" s="284"/>
    </row>
    <row r="14" spans="1:19" ht="14.25" customHeight="1">
      <c r="A14" s="167" t="s">
        <v>36</v>
      </c>
      <c r="B14" s="164" t="s">
        <v>35</v>
      </c>
      <c r="C14" s="266">
        <f aca="true" t="shared" si="0" ref="C14:C29">+D14+E14+F14+G14</f>
        <v>11000</v>
      </c>
      <c r="D14" s="266">
        <v>2750</v>
      </c>
      <c r="E14" s="266">
        <v>2750</v>
      </c>
      <c r="F14" s="266">
        <v>2750</v>
      </c>
      <c r="G14" s="266">
        <v>2750</v>
      </c>
      <c r="I14" s="221" t="s">
        <v>314</v>
      </c>
      <c r="J14" s="168"/>
      <c r="K14" s="168"/>
      <c r="L14" s="168"/>
      <c r="M14" s="168"/>
      <c r="N14" s="18"/>
      <c r="O14" s="18"/>
      <c r="P14" s="18"/>
      <c r="Q14" s="18"/>
      <c r="R14" s="18"/>
      <c r="S14" s="18"/>
    </row>
    <row r="15" spans="1:19" ht="15.75" customHeight="1" hidden="1">
      <c r="A15" s="167"/>
      <c r="B15" s="164" t="s">
        <v>296</v>
      </c>
      <c r="C15" s="266">
        <f t="shared" si="0"/>
        <v>0</v>
      </c>
      <c r="D15" s="271"/>
      <c r="E15" s="271"/>
      <c r="F15" s="271"/>
      <c r="G15" s="271"/>
      <c r="I15" s="199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customHeight="1">
      <c r="A16" s="167"/>
      <c r="B16" s="164" t="s">
        <v>311</v>
      </c>
      <c r="C16" s="266">
        <f t="shared" si="0"/>
        <v>1320</v>
      </c>
      <c r="D16" s="266">
        <f>+D14*12%</f>
        <v>330</v>
      </c>
      <c r="E16" s="266">
        <f>+E14*12%</f>
        <v>330</v>
      </c>
      <c r="F16" s="266">
        <f>+F14*12%</f>
        <v>330</v>
      </c>
      <c r="G16" s="266">
        <f>+G14*12%</f>
        <v>330</v>
      </c>
      <c r="H16" s="39"/>
      <c r="I16" s="44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7.25" customHeight="1" hidden="1">
      <c r="A17" s="167" t="s">
        <v>203</v>
      </c>
      <c r="B17" s="169" t="s">
        <v>37</v>
      </c>
      <c r="C17" s="266">
        <f t="shared" si="0"/>
        <v>0</v>
      </c>
      <c r="D17" s="266"/>
      <c r="E17" s="266"/>
      <c r="F17" s="266"/>
      <c r="G17" s="266"/>
      <c r="H17" s="44"/>
      <c r="I17" s="199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6.5" customHeight="1" hidden="1">
      <c r="A18" s="167"/>
      <c r="B18" s="164" t="s">
        <v>311</v>
      </c>
      <c r="C18" s="266">
        <f t="shared" si="0"/>
        <v>0</v>
      </c>
      <c r="D18" s="266">
        <f>D17*15%</f>
        <v>0</v>
      </c>
      <c r="E18" s="266">
        <f>E17*15%</f>
        <v>0</v>
      </c>
      <c r="F18" s="266">
        <f>F17*15%</f>
        <v>0</v>
      </c>
      <c r="G18" s="266">
        <f>G17*15%</f>
        <v>0</v>
      </c>
      <c r="H18" s="44"/>
      <c r="I18" s="199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" customHeight="1">
      <c r="A19" s="166" t="s">
        <v>38</v>
      </c>
      <c r="B19" s="170" t="s">
        <v>2</v>
      </c>
      <c r="C19" s="165">
        <f t="shared" si="0"/>
        <v>10573.664</v>
      </c>
      <c r="D19" s="165">
        <f>D20+D30</f>
        <v>2616.202</v>
      </c>
      <c r="E19" s="165">
        <f>E20+E30</f>
        <v>2642.715</v>
      </c>
      <c r="F19" s="165">
        <f>F20+F30</f>
        <v>2666.873</v>
      </c>
      <c r="G19" s="165">
        <f>G20+G30</f>
        <v>2647.874</v>
      </c>
      <c r="I19" s="250"/>
      <c r="J19" s="171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" customHeight="1">
      <c r="A20" s="166" t="s">
        <v>3</v>
      </c>
      <c r="B20" s="170" t="s">
        <v>4</v>
      </c>
      <c r="C20" s="165">
        <f>+D20+E20+F20+G20</f>
        <v>8036</v>
      </c>
      <c r="D20" s="165">
        <f>D21+D26+D27+D28+D29+1</f>
        <v>2013</v>
      </c>
      <c r="E20" s="165">
        <f>E21+E26+E27+E28+E29</f>
        <v>2001</v>
      </c>
      <c r="F20" s="165">
        <f>F21+F26+F27+F28+F29</f>
        <v>2021</v>
      </c>
      <c r="G20" s="165">
        <f>G21+G26+G27+G28+G29</f>
        <v>2001</v>
      </c>
      <c r="I20" s="285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" customHeight="1">
      <c r="A21" s="167" t="s">
        <v>39</v>
      </c>
      <c r="B21" s="164" t="s">
        <v>194</v>
      </c>
      <c r="C21" s="266">
        <f>+D21+E21+F21+G21</f>
        <v>2424</v>
      </c>
      <c r="D21" s="266">
        <f>+D22+D23+D24+D25</f>
        <v>606</v>
      </c>
      <c r="E21" s="266">
        <f>+E22+E23+E24+E25</f>
        <v>606</v>
      </c>
      <c r="F21" s="266">
        <f>+F22+F23+F24+F25</f>
        <v>606</v>
      </c>
      <c r="G21" s="266">
        <f>+G22+G23+G24+G25</f>
        <v>606</v>
      </c>
      <c r="I21" s="286"/>
      <c r="J21" s="172"/>
      <c r="K21" s="35"/>
      <c r="L21" s="173"/>
      <c r="M21" s="173"/>
      <c r="N21" s="18"/>
      <c r="O21" s="18"/>
      <c r="P21" s="18"/>
      <c r="Q21" s="18"/>
      <c r="R21" s="18"/>
      <c r="S21" s="18"/>
    </row>
    <row r="22" spans="1:19" ht="15" customHeight="1">
      <c r="A22" s="167"/>
      <c r="B22" s="164" t="s">
        <v>5</v>
      </c>
      <c r="C22" s="266">
        <f t="shared" si="0"/>
        <v>1120</v>
      </c>
      <c r="D22" s="266">
        <v>280</v>
      </c>
      <c r="E22" s="266">
        <v>280</v>
      </c>
      <c r="F22" s="266">
        <v>280</v>
      </c>
      <c r="G22" s="266">
        <v>280</v>
      </c>
      <c r="I22" s="221"/>
      <c r="J22" s="172"/>
      <c r="K22" s="1"/>
      <c r="L22" s="18"/>
      <c r="M22" s="18"/>
      <c r="N22" s="18"/>
      <c r="O22" s="18"/>
      <c r="P22" s="18"/>
      <c r="Q22" s="18"/>
      <c r="R22" s="18"/>
      <c r="S22" s="18"/>
    </row>
    <row r="23" spans="1:19" ht="15" customHeight="1">
      <c r="A23" s="167"/>
      <c r="B23" s="164" t="s">
        <v>6</v>
      </c>
      <c r="C23" s="266">
        <f t="shared" si="0"/>
        <v>1200</v>
      </c>
      <c r="D23" s="271">
        <v>300</v>
      </c>
      <c r="E23" s="271">
        <v>300</v>
      </c>
      <c r="F23" s="271">
        <v>300</v>
      </c>
      <c r="G23" s="271">
        <v>300</v>
      </c>
      <c r="H23" s="44"/>
      <c r="I23" s="285"/>
      <c r="J23" s="18"/>
      <c r="K23" s="2"/>
      <c r="L23" s="18"/>
      <c r="M23" s="18"/>
      <c r="N23" s="18"/>
      <c r="O23" s="18"/>
      <c r="P23" s="18"/>
      <c r="Q23" s="18"/>
      <c r="R23" s="18"/>
      <c r="S23" s="18"/>
    </row>
    <row r="24" spans="1:19" ht="15" customHeight="1">
      <c r="A24" s="167"/>
      <c r="B24" s="164" t="s">
        <v>7</v>
      </c>
      <c r="C24" s="266">
        <f t="shared" si="0"/>
        <v>24</v>
      </c>
      <c r="D24" s="271">
        <v>6</v>
      </c>
      <c r="E24" s="271">
        <v>6</v>
      </c>
      <c r="F24" s="271">
        <v>6</v>
      </c>
      <c r="G24" s="271">
        <v>6</v>
      </c>
      <c r="H24" s="37"/>
      <c r="I24" s="287"/>
      <c r="J24" s="18"/>
      <c r="K24" s="174"/>
      <c r="L24" s="175"/>
      <c r="M24" s="18"/>
      <c r="N24" s="18"/>
      <c r="O24" s="18"/>
      <c r="P24" s="18"/>
      <c r="Q24" s="18"/>
      <c r="R24" s="18"/>
      <c r="S24" s="18"/>
    </row>
    <row r="25" spans="1:19" ht="15" customHeight="1">
      <c r="A25" s="167"/>
      <c r="B25" s="164" t="s">
        <v>8</v>
      </c>
      <c r="C25" s="266">
        <f>+D25+E25+F25+G25</f>
        <v>80</v>
      </c>
      <c r="D25" s="266">
        <v>20</v>
      </c>
      <c r="E25" s="266">
        <v>20</v>
      </c>
      <c r="F25" s="266">
        <v>20</v>
      </c>
      <c r="G25" s="266">
        <v>20</v>
      </c>
      <c r="H25" s="233"/>
      <c r="I25" s="173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5" customHeight="1">
      <c r="A26" s="167" t="s">
        <v>40</v>
      </c>
      <c r="B26" s="164" t="s">
        <v>9</v>
      </c>
      <c r="C26" s="266">
        <f t="shared" si="0"/>
        <v>4200</v>
      </c>
      <c r="D26" s="271">
        <v>1050</v>
      </c>
      <c r="E26" s="271">
        <v>1050</v>
      </c>
      <c r="F26" s="271">
        <v>1050</v>
      </c>
      <c r="G26" s="271">
        <v>1050</v>
      </c>
      <c r="H26" s="234"/>
      <c r="I26" s="28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 customHeight="1">
      <c r="A27" s="167" t="s">
        <v>41</v>
      </c>
      <c r="B27" s="164" t="s">
        <v>10</v>
      </c>
      <c r="C27" s="266">
        <f t="shared" si="0"/>
        <v>505</v>
      </c>
      <c r="D27" s="266">
        <f>+D26*12%+1</f>
        <v>127</v>
      </c>
      <c r="E27" s="266">
        <f>+E26*12%</f>
        <v>126</v>
      </c>
      <c r="F27" s="266">
        <f>+F26*12%</f>
        <v>126</v>
      </c>
      <c r="G27" s="266">
        <f>+G26*12%</f>
        <v>126</v>
      </c>
      <c r="H27" s="234"/>
      <c r="I27" s="250"/>
      <c r="J27" s="171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5" customHeight="1">
      <c r="A28" s="167" t="s">
        <v>42</v>
      </c>
      <c r="B28" s="164" t="s">
        <v>11</v>
      </c>
      <c r="C28" s="266">
        <f t="shared" si="0"/>
        <v>848</v>
      </c>
      <c r="D28" s="271">
        <v>212</v>
      </c>
      <c r="E28" s="271">
        <v>212</v>
      </c>
      <c r="F28" s="271">
        <v>212</v>
      </c>
      <c r="G28" s="271">
        <v>212</v>
      </c>
      <c r="H28" s="234"/>
      <c r="I28" s="289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5" customHeight="1">
      <c r="A29" s="167" t="s">
        <v>43</v>
      </c>
      <c r="B29" s="164" t="s">
        <v>0</v>
      </c>
      <c r="C29" s="266">
        <f t="shared" si="0"/>
        <v>58</v>
      </c>
      <c r="D29" s="266">
        <v>17</v>
      </c>
      <c r="E29" s="266">
        <v>7</v>
      </c>
      <c r="F29" s="266">
        <v>27</v>
      </c>
      <c r="G29" s="266">
        <v>7</v>
      </c>
      <c r="H29" s="233"/>
      <c r="I29" s="290"/>
      <c r="J29" s="42"/>
      <c r="K29" s="37"/>
      <c r="L29" s="18"/>
      <c r="M29" s="18"/>
      <c r="N29" s="18"/>
      <c r="O29" s="37"/>
      <c r="P29" s="37"/>
      <c r="Q29" s="37"/>
      <c r="R29" s="37"/>
      <c r="S29" s="18"/>
    </row>
    <row r="30" spans="1:19" ht="15" customHeight="1">
      <c r="A30" s="166" t="s">
        <v>12</v>
      </c>
      <c r="B30" s="170" t="s">
        <v>13</v>
      </c>
      <c r="C30" s="165">
        <f>C31+C38</f>
        <v>2537.664</v>
      </c>
      <c r="D30" s="165">
        <f>D31+D38</f>
        <v>603.202</v>
      </c>
      <c r="E30" s="165">
        <f>E31+E38</f>
        <v>641.715</v>
      </c>
      <c r="F30" s="165">
        <f>F31+F38</f>
        <v>645.8729999999999</v>
      </c>
      <c r="G30" s="165">
        <f>G31+G38</f>
        <v>646.874</v>
      </c>
      <c r="H30" s="234"/>
      <c r="I30" s="291"/>
      <c r="J30" s="42"/>
      <c r="K30" s="18"/>
      <c r="L30" s="18"/>
      <c r="M30" s="18"/>
      <c r="N30" s="18"/>
      <c r="O30" s="37"/>
      <c r="P30" s="176"/>
      <c r="Q30" s="176"/>
      <c r="R30" s="176"/>
      <c r="S30" s="18"/>
    </row>
    <row r="31" spans="1:19" ht="15" customHeight="1">
      <c r="A31" s="166" t="s">
        <v>14</v>
      </c>
      <c r="B31" s="170" t="s">
        <v>44</v>
      </c>
      <c r="C31" s="165">
        <f>C32+C33+C34+C35+C36+C37</f>
        <v>542.84</v>
      </c>
      <c r="D31" s="165">
        <f>D32+D33+D34+D35+D36+D37</f>
        <v>135.21</v>
      </c>
      <c r="E31" s="165">
        <f>E32+E33+E34+E35+E36+E37</f>
        <v>136.21</v>
      </c>
      <c r="F31" s="165">
        <f>F32+F33+F34+F35+F36+F37</f>
        <v>135.21</v>
      </c>
      <c r="G31" s="165">
        <f>G32+G33+G34+G35+G36+G37</f>
        <v>136.21</v>
      </c>
      <c r="I31" s="285"/>
      <c r="J31" s="177"/>
      <c r="K31" s="2"/>
      <c r="L31" s="177"/>
      <c r="M31" s="2"/>
      <c r="N31" s="18"/>
      <c r="O31" s="37"/>
      <c r="P31" s="37"/>
      <c r="Q31" s="37"/>
      <c r="R31" s="37"/>
      <c r="S31" s="37"/>
    </row>
    <row r="32" spans="1:19" ht="15" customHeight="1">
      <c r="A32" s="166"/>
      <c r="B32" s="164" t="s">
        <v>302</v>
      </c>
      <c r="C32" s="266">
        <f aca="true" t="shared" si="1" ref="C32:C37">D32+E32+F32+G32</f>
        <v>452</v>
      </c>
      <c r="D32" s="266">
        <v>113</v>
      </c>
      <c r="E32" s="266">
        <v>113</v>
      </c>
      <c r="F32" s="266">
        <v>113</v>
      </c>
      <c r="G32" s="266">
        <v>113</v>
      </c>
      <c r="H32" s="232"/>
      <c r="I32" s="292"/>
      <c r="J32" s="8"/>
      <c r="K32" s="179"/>
      <c r="L32" s="8"/>
      <c r="M32" s="179"/>
      <c r="N32" s="18"/>
      <c r="O32" s="37"/>
      <c r="P32" s="37"/>
      <c r="Q32" s="37"/>
      <c r="R32" s="37"/>
      <c r="S32" s="37"/>
    </row>
    <row r="33" spans="1:19" ht="15" customHeight="1">
      <c r="A33" s="166"/>
      <c r="B33" s="164" t="s">
        <v>10</v>
      </c>
      <c r="C33" s="266">
        <f t="shared" si="1"/>
        <v>54.24</v>
      </c>
      <c r="D33" s="266">
        <v>13.56</v>
      </c>
      <c r="E33" s="266">
        <v>13.56</v>
      </c>
      <c r="F33" s="266">
        <v>13.56</v>
      </c>
      <c r="G33" s="266">
        <v>13.56</v>
      </c>
      <c r="H33" s="273"/>
      <c r="I33" s="292"/>
      <c r="J33" s="8"/>
      <c r="K33" s="179"/>
      <c r="L33" s="8"/>
      <c r="M33" s="179"/>
      <c r="N33" s="18"/>
      <c r="O33" s="37"/>
      <c r="P33" s="37"/>
      <c r="Q33" s="37"/>
      <c r="R33" s="37"/>
      <c r="S33" s="37"/>
    </row>
    <row r="34" spans="1:19" ht="15" customHeight="1">
      <c r="A34" s="166"/>
      <c r="B34" s="164" t="s">
        <v>200</v>
      </c>
      <c r="C34" s="266">
        <f t="shared" si="1"/>
        <v>0</v>
      </c>
      <c r="D34" s="266">
        <v>0</v>
      </c>
      <c r="E34" s="266">
        <v>0</v>
      </c>
      <c r="F34" s="266">
        <v>0</v>
      </c>
      <c r="G34" s="266">
        <v>0</v>
      </c>
      <c r="H34" s="225"/>
      <c r="I34" s="199"/>
      <c r="J34" s="18"/>
      <c r="K34" s="18"/>
      <c r="L34" s="18"/>
      <c r="M34" s="18"/>
      <c r="N34" s="18"/>
      <c r="O34" s="37"/>
      <c r="P34" s="37"/>
      <c r="Q34" s="37"/>
      <c r="R34" s="37"/>
      <c r="S34" s="18"/>
    </row>
    <row r="35" spans="1:19" ht="15" customHeight="1">
      <c r="A35" s="166"/>
      <c r="B35" s="164" t="s">
        <v>20</v>
      </c>
      <c r="C35" s="266">
        <f t="shared" si="1"/>
        <v>2</v>
      </c>
      <c r="D35" s="266">
        <v>0</v>
      </c>
      <c r="E35" s="266">
        <v>1</v>
      </c>
      <c r="F35" s="266">
        <v>0</v>
      </c>
      <c r="G35" s="266">
        <v>1</v>
      </c>
      <c r="H35" s="225"/>
      <c r="I35" s="293"/>
      <c r="J35" s="18"/>
      <c r="K35" s="18"/>
      <c r="L35" s="18"/>
      <c r="M35" s="18"/>
      <c r="N35" s="18"/>
      <c r="O35" s="37"/>
      <c r="P35" s="37"/>
      <c r="Q35" s="37"/>
      <c r="R35" s="37"/>
      <c r="S35" s="18"/>
    </row>
    <row r="36" spans="1:19" ht="15" customHeight="1">
      <c r="A36" s="166"/>
      <c r="B36" s="164" t="s">
        <v>23</v>
      </c>
      <c r="C36" s="266">
        <f t="shared" si="1"/>
        <v>8</v>
      </c>
      <c r="D36" s="266">
        <v>2</v>
      </c>
      <c r="E36" s="266">
        <v>2</v>
      </c>
      <c r="F36" s="266">
        <v>2</v>
      </c>
      <c r="G36" s="266">
        <v>2</v>
      </c>
      <c r="H36" s="225"/>
      <c r="I36" s="173"/>
      <c r="J36" s="173"/>
      <c r="K36" s="173"/>
      <c r="L36" s="173"/>
      <c r="M36" s="18"/>
      <c r="N36" s="18"/>
      <c r="O36" s="37"/>
      <c r="P36" s="37"/>
      <c r="Q36" s="37"/>
      <c r="R36" s="37"/>
      <c r="S36" s="18"/>
    </row>
    <row r="37" spans="1:19" ht="15" customHeight="1">
      <c r="A37" s="166"/>
      <c r="B37" s="164" t="s">
        <v>21</v>
      </c>
      <c r="C37" s="266">
        <f t="shared" si="1"/>
        <v>26.6</v>
      </c>
      <c r="D37" s="266">
        <v>6.65</v>
      </c>
      <c r="E37" s="266">
        <v>6.65</v>
      </c>
      <c r="F37" s="266">
        <v>6.65</v>
      </c>
      <c r="G37" s="266">
        <v>6.65</v>
      </c>
      <c r="H37" s="225"/>
      <c r="I37" s="291"/>
      <c r="J37" s="37"/>
      <c r="K37" s="37"/>
      <c r="L37" s="18"/>
      <c r="M37" s="18"/>
      <c r="N37" s="18"/>
      <c r="O37" s="37"/>
      <c r="P37" s="37"/>
      <c r="Q37" s="37"/>
      <c r="R37" s="37"/>
      <c r="S37" s="18"/>
    </row>
    <row r="38" spans="1:19" ht="15" customHeight="1">
      <c r="A38" s="166" t="s">
        <v>22</v>
      </c>
      <c r="B38" s="170" t="s">
        <v>25</v>
      </c>
      <c r="C38" s="165">
        <f>+D38+E38+F38+G38</f>
        <v>1994.824</v>
      </c>
      <c r="D38" s="165">
        <f>D39+D40+D41+D43+D44</f>
        <v>467.992</v>
      </c>
      <c r="E38" s="165">
        <f>E39+E40+E41+E43+E44</f>
        <v>505.505</v>
      </c>
      <c r="F38" s="165">
        <f>F39+F40+F41+F43+F44</f>
        <v>510.66299999999995</v>
      </c>
      <c r="G38" s="165">
        <f>G39+G40+G41+G43+G44</f>
        <v>510.664</v>
      </c>
      <c r="H38" s="226"/>
      <c r="I38" s="173"/>
      <c r="J38" s="177"/>
      <c r="K38" s="177"/>
      <c r="L38" s="177"/>
      <c r="M38" s="177"/>
      <c r="N38" s="18"/>
      <c r="O38" s="37"/>
      <c r="P38" s="37"/>
      <c r="Q38" s="37"/>
      <c r="R38" s="37"/>
      <c r="S38" s="18"/>
    </row>
    <row r="39" spans="1:19" ht="15" customHeight="1">
      <c r="A39" s="167"/>
      <c r="B39" s="164" t="s">
        <v>51</v>
      </c>
      <c r="C39" s="266">
        <f>+D39+E39+F39+G39</f>
        <v>413.854</v>
      </c>
      <c r="D39" s="266">
        <v>103.463</v>
      </c>
      <c r="E39" s="266">
        <v>103.464</v>
      </c>
      <c r="F39" s="266">
        <v>103.463</v>
      </c>
      <c r="G39" s="266">
        <v>103.464</v>
      </c>
      <c r="H39" s="222"/>
      <c r="I39" s="44"/>
      <c r="J39" s="173"/>
      <c r="K39" s="173"/>
      <c r="L39" s="173"/>
      <c r="M39" s="173"/>
      <c r="N39" s="18"/>
      <c r="O39" s="37"/>
      <c r="P39" s="37"/>
      <c r="Q39" s="37"/>
      <c r="R39" s="37"/>
      <c r="S39" s="18"/>
    </row>
    <row r="40" spans="1:19" ht="15" customHeight="1" hidden="1">
      <c r="A40" s="167"/>
      <c r="B40" s="164" t="s">
        <v>52</v>
      </c>
      <c r="C40" s="266">
        <f>+D40+E40+F40+G40</f>
        <v>0</v>
      </c>
      <c r="D40" s="266"/>
      <c r="E40" s="266"/>
      <c r="F40" s="266"/>
      <c r="G40" s="266"/>
      <c r="H40" s="222"/>
      <c r="I40" s="199"/>
      <c r="J40" s="173"/>
      <c r="K40" s="173"/>
      <c r="L40" s="173"/>
      <c r="M40" s="173"/>
      <c r="N40" s="18"/>
      <c r="O40" s="18"/>
      <c r="P40" s="18"/>
      <c r="Q40" s="18"/>
      <c r="R40" s="18"/>
      <c r="S40" s="18"/>
    </row>
    <row r="41" spans="1:19" ht="16.5" customHeight="1">
      <c r="A41" s="167"/>
      <c r="B41" s="164" t="s">
        <v>15</v>
      </c>
      <c r="C41" s="266">
        <f>+D41+E41+F41+G41</f>
        <v>1532.17</v>
      </c>
      <c r="D41" s="266">
        <v>352.329</v>
      </c>
      <c r="E41" s="266">
        <v>389.841</v>
      </c>
      <c r="F41" s="266">
        <v>395</v>
      </c>
      <c r="G41" s="266">
        <v>395</v>
      </c>
      <c r="H41" s="222"/>
      <c r="I41" s="344">
        <v>1532</v>
      </c>
      <c r="J41" s="173"/>
      <c r="K41" s="173"/>
      <c r="L41" s="173"/>
      <c r="M41" s="173"/>
      <c r="N41" s="18"/>
      <c r="O41" s="18"/>
      <c r="P41" s="18"/>
      <c r="Q41" s="18"/>
      <c r="R41" s="18"/>
      <c r="S41" s="18"/>
    </row>
    <row r="42" spans="1:19" ht="0.75" customHeight="1" hidden="1">
      <c r="A42" s="167"/>
      <c r="B42" s="164" t="s">
        <v>24</v>
      </c>
      <c r="C42" s="266">
        <f>+D42+E42+F42+G42</f>
        <v>0</v>
      </c>
      <c r="D42" s="266">
        <v>0</v>
      </c>
      <c r="E42" s="266">
        <v>0</v>
      </c>
      <c r="F42" s="266">
        <v>0</v>
      </c>
      <c r="G42" s="266">
        <v>0</v>
      </c>
      <c r="H42" s="222"/>
      <c r="I42" s="199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s="198" customFormat="1" ht="15" customHeight="1" hidden="1">
      <c r="A43" s="167"/>
      <c r="B43" s="164" t="s">
        <v>16</v>
      </c>
      <c r="C43" s="266">
        <f>D43+E43+F43+G43</f>
        <v>0</v>
      </c>
      <c r="D43" s="266"/>
      <c r="E43" s="266"/>
      <c r="F43" s="266"/>
      <c r="G43" s="266"/>
      <c r="H43" s="223"/>
      <c r="I43" s="173"/>
      <c r="J43" s="173"/>
      <c r="K43" s="173"/>
      <c r="L43" s="173"/>
      <c r="M43" s="173"/>
      <c r="N43" s="199"/>
      <c r="O43" s="199"/>
      <c r="P43" s="199"/>
      <c r="Q43" s="199"/>
      <c r="R43" s="199"/>
      <c r="S43" s="199"/>
    </row>
    <row r="44" spans="1:19" s="198" customFormat="1" ht="15" customHeight="1">
      <c r="A44" s="167"/>
      <c r="B44" s="164" t="s">
        <v>17</v>
      </c>
      <c r="C44" s="266">
        <f>D44+E44+F44+G44</f>
        <v>48.8</v>
      </c>
      <c r="D44" s="266">
        <f>11.7+0.5</f>
        <v>12.2</v>
      </c>
      <c r="E44" s="266">
        <f>11.7+0.5</f>
        <v>12.2</v>
      </c>
      <c r="F44" s="266">
        <f>11.7+0.5</f>
        <v>12.2</v>
      </c>
      <c r="G44" s="266">
        <f>11.7+0.5</f>
        <v>12.2</v>
      </c>
      <c r="H44" s="223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ht="15" customHeight="1">
      <c r="A45" s="166" t="s">
        <v>27</v>
      </c>
      <c r="B45" s="170" t="s">
        <v>31</v>
      </c>
      <c r="C45" s="267">
        <f>D45+E45+F45+G45</f>
        <v>80</v>
      </c>
      <c r="D45" s="267">
        <v>20</v>
      </c>
      <c r="E45" s="267">
        <v>20</v>
      </c>
      <c r="F45" s="267">
        <v>20</v>
      </c>
      <c r="G45" s="267">
        <v>20</v>
      </c>
      <c r="H45" s="249"/>
      <c r="I45" s="250"/>
      <c r="J45" s="171"/>
      <c r="K45" s="36"/>
      <c r="L45" s="18"/>
      <c r="M45" s="37"/>
      <c r="N45" s="18"/>
      <c r="O45" s="18"/>
      <c r="P45" s="18"/>
      <c r="Q45" s="18"/>
      <c r="R45" s="18"/>
      <c r="S45" s="18"/>
    </row>
    <row r="46" spans="1:19" ht="15" customHeight="1">
      <c r="A46" s="166" t="s">
        <v>45</v>
      </c>
      <c r="B46" s="170" t="s">
        <v>32</v>
      </c>
      <c r="C46" s="267">
        <f>D46+E46+F46+G46</f>
        <v>129</v>
      </c>
      <c r="D46" s="267">
        <v>35</v>
      </c>
      <c r="E46" s="267">
        <v>32</v>
      </c>
      <c r="F46" s="267">
        <v>30</v>
      </c>
      <c r="G46" s="267">
        <v>32</v>
      </c>
      <c r="H46" s="249"/>
      <c r="I46" s="250"/>
      <c r="J46" s="296"/>
      <c r="K46" s="180"/>
      <c r="L46" s="180"/>
      <c r="M46" s="180"/>
      <c r="N46" s="18"/>
      <c r="O46" s="18"/>
      <c r="P46" s="18"/>
      <c r="Q46" s="18"/>
      <c r="R46" s="18"/>
      <c r="S46" s="18"/>
    </row>
    <row r="47" spans="1:19" ht="15" customHeight="1">
      <c r="A47" s="166" t="s">
        <v>46</v>
      </c>
      <c r="B47" s="170" t="s">
        <v>30</v>
      </c>
      <c r="C47" s="165">
        <f>C13-C19-C45+C46</f>
        <v>475.33599999999933</v>
      </c>
      <c r="D47" s="165">
        <f>D13-D19-D45+D46</f>
        <v>148.79799999999977</v>
      </c>
      <c r="E47" s="165">
        <f>E13-E19-E45+E46</f>
        <v>119.28499999999985</v>
      </c>
      <c r="F47" s="165">
        <f>F13-F19-F45+F46</f>
        <v>93.12699999999995</v>
      </c>
      <c r="G47" s="165">
        <f>G13-G19-G45+G46</f>
        <v>114.1260000000002</v>
      </c>
      <c r="H47" s="224"/>
      <c r="I47" s="294"/>
      <c r="J47" s="181"/>
      <c r="K47" s="59"/>
      <c r="L47" s="18"/>
      <c r="M47" s="37"/>
      <c r="N47" s="182"/>
      <c r="O47" s="18"/>
      <c r="P47" s="18"/>
      <c r="Q47" s="18"/>
      <c r="R47" s="18"/>
      <c r="S47" s="18"/>
    </row>
    <row r="48" spans="1:19" ht="15" customHeight="1">
      <c r="A48" s="166" t="s">
        <v>47</v>
      </c>
      <c r="B48" s="170" t="s">
        <v>28</v>
      </c>
      <c r="C48" s="165">
        <f>D48+E48+F48+G48</f>
        <v>475.3359999999998</v>
      </c>
      <c r="D48" s="165">
        <f>D49*100/15</f>
        <v>148.79799999999977</v>
      </c>
      <c r="E48" s="165">
        <f>E49*100/15</f>
        <v>119.28499999999985</v>
      </c>
      <c r="F48" s="165">
        <f>F49*100/15</f>
        <v>93.12699999999995</v>
      </c>
      <c r="G48" s="165">
        <f>G49*100/15</f>
        <v>114.12600000000019</v>
      </c>
      <c r="H48" s="222"/>
      <c r="I48" s="295"/>
      <c r="J48" s="215"/>
      <c r="K48" s="182"/>
      <c r="L48" s="177"/>
      <c r="M48" s="177"/>
      <c r="N48" s="182"/>
      <c r="O48" s="18"/>
      <c r="P48" s="168"/>
      <c r="Q48" s="168"/>
      <c r="R48" s="168"/>
      <c r="S48" s="18"/>
    </row>
    <row r="49" spans="1:20" ht="17.25" customHeight="1">
      <c r="A49" s="166" t="s">
        <v>48</v>
      </c>
      <c r="B49" s="170" t="s">
        <v>304</v>
      </c>
      <c r="C49" s="165">
        <f>D49+E49+F49+G49</f>
        <v>71.30039999999997</v>
      </c>
      <c r="D49" s="165">
        <f>D47*15%</f>
        <v>22.319699999999965</v>
      </c>
      <c r="E49" s="165">
        <f>E47*15%</f>
        <v>17.892749999999978</v>
      </c>
      <c r="F49" s="165">
        <f>F47*15%</f>
        <v>13.969049999999992</v>
      </c>
      <c r="G49" s="165">
        <f>G47*15%</f>
        <v>17.11890000000003</v>
      </c>
      <c r="H49" s="249"/>
      <c r="I49" s="250"/>
      <c r="J49" s="177"/>
      <c r="K49" s="2"/>
      <c r="L49" s="177"/>
      <c r="M49" s="2"/>
      <c r="N49" s="182"/>
      <c r="O49" s="37"/>
      <c r="P49" s="18"/>
      <c r="Q49" s="37"/>
      <c r="R49" s="37"/>
      <c r="S49" s="37"/>
      <c r="T49" s="37"/>
    </row>
    <row r="50" spans="1:20" ht="0.75" customHeight="1" hidden="1">
      <c r="A50" s="166" t="s">
        <v>49</v>
      </c>
      <c r="B50" s="170" t="s">
        <v>210</v>
      </c>
      <c r="C50" s="165">
        <f>D50+E50+F50+G50</f>
        <v>1</v>
      </c>
      <c r="D50" s="165">
        <v>0</v>
      </c>
      <c r="E50" s="165">
        <v>0</v>
      </c>
      <c r="F50" s="165">
        <v>0</v>
      </c>
      <c r="G50" s="165">
        <v>1</v>
      </c>
      <c r="H50" s="249"/>
      <c r="I50" s="250"/>
      <c r="J50" s="177"/>
      <c r="K50" s="178"/>
      <c r="L50" s="183"/>
      <c r="M50" s="177"/>
      <c r="N50" s="178"/>
      <c r="O50" s="8"/>
      <c r="P50" s="8"/>
      <c r="Q50" s="8"/>
      <c r="R50" s="8"/>
      <c r="S50" s="8"/>
      <c r="T50" s="184"/>
    </row>
    <row r="51" spans="1:19" ht="15" customHeight="1">
      <c r="A51" s="166" t="s">
        <v>49</v>
      </c>
      <c r="B51" s="170" t="s">
        <v>18</v>
      </c>
      <c r="C51" s="165">
        <f>C47-C49-C50+1</f>
        <v>404.03559999999936</v>
      </c>
      <c r="D51" s="165">
        <f>D47-D49-D50</f>
        <v>126.4782999999998</v>
      </c>
      <c r="E51" s="165">
        <f>E47-E49-E50</f>
        <v>101.39224999999988</v>
      </c>
      <c r="F51" s="165">
        <f>F47-F49-F50</f>
        <v>79.15794999999996</v>
      </c>
      <c r="G51" s="165">
        <f>G47-G49-G50</f>
        <v>96.00710000000018</v>
      </c>
      <c r="H51" s="185"/>
      <c r="I51" s="250"/>
      <c r="J51" s="171"/>
      <c r="K51" s="177"/>
      <c r="L51" s="177"/>
      <c r="M51" s="177"/>
      <c r="N51" s="182"/>
      <c r="O51" s="18"/>
      <c r="P51" s="18"/>
      <c r="Q51" s="18"/>
      <c r="R51" s="18"/>
      <c r="S51" s="18"/>
    </row>
    <row r="52" spans="1:19" ht="15" customHeight="1">
      <c r="A52" s="166" t="s">
        <v>50</v>
      </c>
      <c r="B52" s="170" t="s">
        <v>29</v>
      </c>
      <c r="C52" s="268">
        <f>C51/C20*100</f>
        <v>5.027819810851162</v>
      </c>
      <c r="D52" s="268">
        <f>D51/D20*100</f>
        <v>6.283075012419265</v>
      </c>
      <c r="E52" s="269">
        <f>E51/E20*100</f>
        <v>5.0670789605197335</v>
      </c>
      <c r="F52" s="268">
        <f>F51/F20*100</f>
        <v>3.9167714002968803</v>
      </c>
      <c r="G52" s="268">
        <f>G51/G20*100</f>
        <v>4.797956021989014</v>
      </c>
      <c r="H52" s="186"/>
      <c r="I52" s="199"/>
      <c r="J52" s="18"/>
      <c r="K52" s="18"/>
      <c r="L52" s="18"/>
      <c r="M52" s="18"/>
      <c r="N52" s="182"/>
      <c r="O52" s="18"/>
      <c r="P52" s="18"/>
      <c r="Q52" s="18"/>
      <c r="R52" s="18"/>
      <c r="S52" s="18"/>
    </row>
    <row r="53" spans="1:14" ht="15" customHeight="1">
      <c r="A53" s="187"/>
      <c r="B53" s="188"/>
      <c r="C53" s="67"/>
      <c r="D53" s="189"/>
      <c r="E53" s="68"/>
      <c r="F53" s="189"/>
      <c r="G53" s="177"/>
      <c r="I53" s="60"/>
      <c r="J53" s="60"/>
      <c r="K53" s="61"/>
      <c r="L53" s="61"/>
      <c r="N53" s="190"/>
    </row>
    <row r="54" spans="1:18" ht="15" customHeight="1">
      <c r="A54" s="187"/>
      <c r="B54" s="188"/>
      <c r="C54" s="68"/>
      <c r="D54" s="69"/>
      <c r="E54" s="69"/>
      <c r="F54" s="177"/>
      <c r="G54" s="177"/>
      <c r="I54" s="60"/>
      <c r="J54" s="60"/>
      <c r="K54" s="190"/>
      <c r="L54" s="190"/>
      <c r="M54" s="184"/>
      <c r="N54" s="190"/>
      <c r="P54" s="191"/>
      <c r="Q54" s="191"/>
      <c r="R54" s="191"/>
    </row>
    <row r="55" spans="2:20" ht="15">
      <c r="B55" s="192" t="s">
        <v>286</v>
      </c>
      <c r="C55" s="77"/>
      <c r="D55" s="66"/>
      <c r="E55" s="159" t="s">
        <v>319</v>
      </c>
      <c r="F55" s="66"/>
      <c r="I55" s="2"/>
      <c r="J55" s="18"/>
      <c r="K55" s="18"/>
      <c r="M55" s="182"/>
      <c r="N55" s="190"/>
      <c r="O55" s="37"/>
      <c r="P55" s="18"/>
      <c r="Q55" s="37"/>
      <c r="R55" s="37"/>
      <c r="S55" s="37"/>
      <c r="T55" s="37"/>
    </row>
    <row r="56" spans="1:20" ht="15" customHeight="1">
      <c r="A56" s="70"/>
      <c r="C56" s="71"/>
      <c r="D56" s="71"/>
      <c r="E56" s="77"/>
      <c r="F56" s="193"/>
      <c r="G56" s="194"/>
      <c r="I56" s="62"/>
      <c r="J56" s="195"/>
      <c r="K56" s="195"/>
      <c r="L56" s="195"/>
      <c r="M56" s="190"/>
      <c r="N56" s="195"/>
      <c r="P56" s="184"/>
      <c r="R56" s="184"/>
      <c r="T56" s="184"/>
    </row>
    <row r="57" spans="1:13" ht="15" customHeight="1">
      <c r="A57" s="70"/>
      <c r="B57" s="192" t="s">
        <v>280</v>
      </c>
      <c r="C57" s="71"/>
      <c r="D57" s="71"/>
      <c r="E57" s="159" t="s">
        <v>320</v>
      </c>
      <c r="F57" s="193"/>
      <c r="G57" s="194"/>
      <c r="M57" s="184"/>
    </row>
    <row r="58" spans="1:7" ht="14.25">
      <c r="A58" s="70"/>
      <c r="C58" s="196"/>
      <c r="D58" s="196"/>
      <c r="F58" s="196"/>
      <c r="G58" s="197"/>
    </row>
    <row r="59" spans="2:7" ht="15">
      <c r="B59" s="71"/>
      <c r="C59" s="196"/>
      <c r="D59" s="196"/>
      <c r="E59" s="160"/>
      <c r="F59" s="196"/>
      <c r="G59" s="11">
        <v>10</v>
      </c>
    </row>
  </sheetData>
  <sheetProtection/>
  <mergeCells count="11">
    <mergeCell ref="A6:G6"/>
    <mergeCell ref="A7:G7"/>
    <mergeCell ref="E8:G8"/>
    <mergeCell ref="C1:G1"/>
    <mergeCell ref="C2:G2"/>
    <mergeCell ref="C3:G3"/>
    <mergeCell ref="C4:G4"/>
    <mergeCell ref="A9:A10"/>
    <mergeCell ref="B9:B10"/>
    <mergeCell ref="C9:C10"/>
    <mergeCell ref="D9:G9"/>
  </mergeCells>
  <printOptions/>
  <pageMargins left="0.95" right="0.1968503937007874" top="0.38" bottom="0.26" header="0.1968503937007874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zoomScalePageLayoutView="0" workbookViewId="0" topLeftCell="B1">
      <selection activeCell="D6" sqref="D6"/>
    </sheetView>
  </sheetViews>
  <sheetFormatPr defaultColWidth="9.00390625" defaultRowHeight="12.75"/>
  <cols>
    <col min="1" max="1" width="6.125" style="204" customWidth="1"/>
    <col min="2" max="2" width="62.875" style="11" customWidth="1"/>
    <col min="3" max="3" width="14.00390625" style="11" customWidth="1"/>
    <col min="4" max="4" width="11.75390625" style="11" customWidth="1"/>
    <col min="5" max="5" width="12.375" style="11" customWidth="1"/>
    <col min="6" max="6" width="11.00390625" style="11" customWidth="1"/>
    <col min="7" max="7" width="12.125" style="11" customWidth="1"/>
    <col min="8" max="16384" width="9.125" style="11" customWidth="1"/>
  </cols>
  <sheetData>
    <row r="1" spans="1:7" ht="15">
      <c r="A1" s="203"/>
      <c r="B1" s="47"/>
      <c r="D1" s="353" t="s">
        <v>78</v>
      </c>
      <c r="E1" s="353"/>
      <c r="F1" s="353"/>
      <c r="G1" s="353"/>
    </row>
    <row r="2" spans="1:7" ht="15">
      <c r="A2" s="203"/>
      <c r="B2" s="47"/>
      <c r="D2" s="353" t="s">
        <v>278</v>
      </c>
      <c r="E2" s="353"/>
      <c r="F2" s="353"/>
      <c r="G2" s="353"/>
    </row>
    <row r="3" spans="1:7" ht="15">
      <c r="A3" s="203"/>
      <c r="B3" s="47"/>
      <c r="D3" s="353" t="s">
        <v>188</v>
      </c>
      <c r="E3" s="353"/>
      <c r="F3" s="353"/>
      <c r="G3" s="353"/>
    </row>
    <row r="4" spans="1:8" ht="15">
      <c r="A4" s="203"/>
      <c r="B4" s="47"/>
      <c r="D4" s="352" t="s">
        <v>318</v>
      </c>
      <c r="E4" s="352"/>
      <c r="F4" s="352"/>
      <c r="G4" s="352"/>
      <c r="H4" s="297"/>
    </row>
    <row r="5" spans="1:7" ht="15">
      <c r="A5" s="203"/>
      <c r="B5" s="47"/>
      <c r="D5" s="353" t="s">
        <v>345</v>
      </c>
      <c r="E5" s="353"/>
      <c r="F5" s="353"/>
      <c r="G5" s="353"/>
    </row>
    <row r="6" spans="1:7" ht="12.75">
      <c r="A6" s="203"/>
      <c r="B6" s="47"/>
      <c r="C6" s="47"/>
      <c r="D6" s="47"/>
      <c r="E6" s="47"/>
      <c r="F6" s="47"/>
      <c r="G6" s="47"/>
    </row>
    <row r="7" spans="1:7" ht="15">
      <c r="A7" s="353" t="s">
        <v>103</v>
      </c>
      <c r="B7" s="353"/>
      <c r="C7" s="353"/>
      <c r="D7" s="353"/>
      <c r="E7" s="353"/>
      <c r="F7" s="353"/>
      <c r="G7" s="353"/>
    </row>
    <row r="8" spans="1:7" ht="15">
      <c r="A8" s="353" t="s">
        <v>330</v>
      </c>
      <c r="B8" s="353"/>
      <c r="C8" s="353"/>
      <c r="D8" s="353"/>
      <c r="E8" s="353"/>
      <c r="F8" s="353"/>
      <c r="G8" s="353"/>
    </row>
    <row r="9" spans="6:7" ht="12.75">
      <c r="F9" s="359" t="s">
        <v>104</v>
      </c>
      <c r="G9" s="359"/>
    </row>
    <row r="10" spans="1:7" ht="12.75" customHeight="1">
      <c r="A10" s="360" t="s">
        <v>81</v>
      </c>
      <c r="B10" s="361" t="s">
        <v>82</v>
      </c>
      <c r="C10" s="362" t="s">
        <v>331</v>
      </c>
      <c r="D10" s="361" t="s">
        <v>83</v>
      </c>
      <c r="E10" s="361"/>
      <c r="F10" s="361"/>
      <c r="G10" s="361"/>
    </row>
    <row r="11" spans="1:7" ht="12.75">
      <c r="A11" s="360"/>
      <c r="B11" s="361"/>
      <c r="C11" s="362"/>
      <c r="D11" s="46" t="s">
        <v>84</v>
      </c>
      <c r="E11" s="46" t="s">
        <v>85</v>
      </c>
      <c r="F11" s="46" t="s">
        <v>86</v>
      </c>
      <c r="G11" s="46" t="s">
        <v>87</v>
      </c>
    </row>
    <row r="12" spans="1:7" ht="12.75">
      <c r="A12" s="140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</row>
    <row r="13" spans="1:11" s="196" customFormat="1" ht="12.75">
      <c r="A13" s="200">
        <v>1</v>
      </c>
      <c r="B13" s="158" t="s">
        <v>105</v>
      </c>
      <c r="C13" s="138">
        <f>+C15+C16+C17+C18+C19</f>
        <v>2344</v>
      </c>
      <c r="D13" s="138">
        <f>+D15+D16+D17+D18+D19</f>
        <v>586</v>
      </c>
      <c r="E13" s="138">
        <f>+E15+E16+E17+E18+E19</f>
        <v>586</v>
      </c>
      <c r="F13" s="138">
        <f>+F15+F16+F17+F18+F19</f>
        <v>586</v>
      </c>
      <c r="G13" s="138">
        <f>+G15+G16+G17+G18+G19</f>
        <v>586</v>
      </c>
      <c r="H13" s="201"/>
      <c r="I13" s="201"/>
      <c r="J13" s="201"/>
      <c r="K13" s="202"/>
    </row>
    <row r="14" spans="1:11" ht="12.75">
      <c r="A14" s="205"/>
      <c r="B14" s="217" t="s">
        <v>108</v>
      </c>
      <c r="C14" s="38"/>
      <c r="D14" s="38"/>
      <c r="E14" s="38"/>
      <c r="F14" s="38"/>
      <c r="G14" s="38"/>
      <c r="H14" s="18"/>
      <c r="I14" s="18"/>
      <c r="J14" s="18"/>
      <c r="K14" s="18"/>
    </row>
    <row r="15" spans="1:11" ht="12.75">
      <c r="A15" s="205" t="s">
        <v>36</v>
      </c>
      <c r="B15" s="217" t="s">
        <v>115</v>
      </c>
      <c r="C15" s="38">
        <f aca="true" t="shared" si="0" ref="C15:C20">+D15+E15+F15+G15</f>
        <v>1200</v>
      </c>
      <c r="D15" s="38">
        <v>300</v>
      </c>
      <c r="E15" s="38">
        <v>300</v>
      </c>
      <c r="F15" s="38">
        <v>300</v>
      </c>
      <c r="G15" s="38">
        <v>300</v>
      </c>
      <c r="H15" s="18"/>
      <c r="I15" s="18"/>
      <c r="J15" s="18"/>
      <c r="K15" s="18"/>
    </row>
    <row r="16" spans="1:11" ht="12.75">
      <c r="A16" s="205" t="s">
        <v>255</v>
      </c>
      <c r="B16" s="217" t="s">
        <v>116</v>
      </c>
      <c r="C16" s="38">
        <f t="shared" si="0"/>
        <v>120</v>
      </c>
      <c r="D16" s="38">
        <v>30</v>
      </c>
      <c r="E16" s="38">
        <v>30</v>
      </c>
      <c r="F16" s="38">
        <v>30</v>
      </c>
      <c r="G16" s="38">
        <v>30</v>
      </c>
      <c r="H16" s="12"/>
      <c r="I16" s="12"/>
      <c r="J16" s="12"/>
      <c r="K16" s="18"/>
    </row>
    <row r="17" spans="1:11" ht="12.75">
      <c r="A17" s="205" t="s">
        <v>256</v>
      </c>
      <c r="B17" s="217" t="s">
        <v>252</v>
      </c>
      <c r="C17" s="38">
        <f t="shared" si="0"/>
        <v>200</v>
      </c>
      <c r="D17" s="38">
        <v>50</v>
      </c>
      <c r="E17" s="38">
        <v>50</v>
      </c>
      <c r="F17" s="38">
        <v>50</v>
      </c>
      <c r="G17" s="38">
        <v>50</v>
      </c>
      <c r="H17" s="18"/>
      <c r="I17" s="18"/>
      <c r="J17" s="18"/>
      <c r="K17" s="18"/>
    </row>
    <row r="18" spans="1:11" ht="12.75">
      <c r="A18" s="205" t="s">
        <v>257</v>
      </c>
      <c r="B18" s="217" t="s">
        <v>109</v>
      </c>
      <c r="C18" s="38">
        <f t="shared" si="0"/>
        <v>800</v>
      </c>
      <c r="D18" s="20">
        <v>200</v>
      </c>
      <c r="E18" s="20">
        <v>200</v>
      </c>
      <c r="F18" s="20">
        <v>200</v>
      </c>
      <c r="G18" s="20">
        <v>200</v>
      </c>
      <c r="H18" s="18"/>
      <c r="I18" s="53"/>
      <c r="J18" s="18"/>
      <c r="K18" s="18"/>
    </row>
    <row r="19" spans="1:11" ht="12.75">
      <c r="A19" s="205" t="s">
        <v>258</v>
      </c>
      <c r="B19" s="217" t="s">
        <v>119</v>
      </c>
      <c r="C19" s="38">
        <f t="shared" si="0"/>
        <v>24</v>
      </c>
      <c r="D19" s="38">
        <v>6</v>
      </c>
      <c r="E19" s="38">
        <v>6</v>
      </c>
      <c r="F19" s="38">
        <v>6</v>
      </c>
      <c r="G19" s="38">
        <v>6</v>
      </c>
      <c r="H19" s="18"/>
      <c r="I19" s="18"/>
      <c r="J19" s="18"/>
      <c r="K19" s="18"/>
    </row>
    <row r="20" spans="1:11" s="196" customFormat="1" ht="12.75">
      <c r="A20" s="200">
        <v>2</v>
      </c>
      <c r="B20" s="158" t="s">
        <v>107</v>
      </c>
      <c r="C20" s="138">
        <f t="shared" si="0"/>
        <v>82</v>
      </c>
      <c r="D20" s="138">
        <f>+D22+D23+D24</f>
        <v>20.5</v>
      </c>
      <c r="E20" s="138">
        <f>+E22+E23+E24</f>
        <v>20.5</v>
      </c>
      <c r="F20" s="138">
        <f>+F22+F23+F24</f>
        <v>20.5</v>
      </c>
      <c r="G20" s="138">
        <f>+G22+G23+G24</f>
        <v>20.5</v>
      </c>
      <c r="H20" s="202"/>
      <c r="I20" s="202"/>
      <c r="J20" s="202"/>
      <c r="K20" s="202"/>
    </row>
    <row r="21" spans="1:11" ht="12.75">
      <c r="A21" s="205"/>
      <c r="B21" s="217" t="s">
        <v>108</v>
      </c>
      <c r="C21" s="38"/>
      <c r="D21" s="38"/>
      <c r="E21" s="38"/>
      <c r="F21" s="38"/>
      <c r="G21" s="38"/>
      <c r="H21" s="18"/>
      <c r="I21" s="18"/>
      <c r="J21" s="18"/>
      <c r="K21" s="18"/>
    </row>
    <row r="22" spans="1:11" ht="12.75">
      <c r="A22" s="205" t="s">
        <v>259</v>
      </c>
      <c r="B22" s="217" t="s">
        <v>308</v>
      </c>
      <c r="C22" s="38">
        <f aca="true" t="shared" si="1" ref="C22:C27">+D22+E22+F22+G22</f>
        <v>0</v>
      </c>
      <c r="D22" s="20">
        <v>0</v>
      </c>
      <c r="E22" s="20">
        <v>0</v>
      </c>
      <c r="F22" s="20">
        <v>0</v>
      </c>
      <c r="G22" s="20">
        <v>0</v>
      </c>
      <c r="H22" s="18"/>
      <c r="I22" s="53"/>
      <c r="J22" s="18"/>
      <c r="K22" s="18"/>
    </row>
    <row r="23" spans="1:11" ht="12.75">
      <c r="A23" s="205" t="s">
        <v>260</v>
      </c>
      <c r="B23" s="217" t="s">
        <v>266</v>
      </c>
      <c r="C23" s="38">
        <f t="shared" si="1"/>
        <v>2</v>
      </c>
      <c r="D23" s="283">
        <v>0.5</v>
      </c>
      <c r="E23" s="283">
        <v>0.5</v>
      </c>
      <c r="F23" s="283">
        <v>0.5</v>
      </c>
      <c r="G23" s="283">
        <v>0.5</v>
      </c>
      <c r="H23" s="18"/>
      <c r="I23" s="53"/>
      <c r="J23" s="18"/>
      <c r="K23" s="18"/>
    </row>
    <row r="24" spans="1:11" ht="12.75">
      <c r="A24" s="205" t="s">
        <v>261</v>
      </c>
      <c r="B24" s="217" t="s">
        <v>306</v>
      </c>
      <c r="C24" s="38">
        <f t="shared" si="1"/>
        <v>80</v>
      </c>
      <c r="D24" s="20">
        <v>20</v>
      </c>
      <c r="E24" s="20">
        <v>20</v>
      </c>
      <c r="F24" s="20">
        <v>20</v>
      </c>
      <c r="G24" s="20">
        <v>20</v>
      </c>
      <c r="H24" s="18"/>
      <c r="I24" s="18"/>
      <c r="J24" s="18"/>
      <c r="K24" s="18"/>
    </row>
    <row r="25" spans="1:11" s="196" customFormat="1" ht="12.75">
      <c r="A25" s="200">
        <v>3</v>
      </c>
      <c r="B25" s="158" t="s">
        <v>106</v>
      </c>
      <c r="C25" s="138">
        <f t="shared" si="1"/>
        <v>4200</v>
      </c>
      <c r="D25" s="138">
        <v>1050</v>
      </c>
      <c r="E25" s="138">
        <v>1050</v>
      </c>
      <c r="F25" s="138">
        <v>1050</v>
      </c>
      <c r="G25" s="138">
        <v>1050</v>
      </c>
      <c r="H25" s="202"/>
      <c r="I25" s="202"/>
      <c r="J25" s="202"/>
      <c r="K25" s="202"/>
    </row>
    <row r="26" spans="1:11" s="196" customFormat="1" ht="12.75">
      <c r="A26" s="200">
        <v>4</v>
      </c>
      <c r="B26" s="158" t="s">
        <v>297</v>
      </c>
      <c r="C26" s="138">
        <f t="shared" si="1"/>
        <v>504</v>
      </c>
      <c r="D26" s="138">
        <f>+D25*12%</f>
        <v>126</v>
      </c>
      <c r="E26" s="138">
        <f>+E25*12%</f>
        <v>126</v>
      </c>
      <c r="F26" s="138">
        <f>+F25*12%</f>
        <v>126</v>
      </c>
      <c r="G26" s="138">
        <f>+G25*12%</f>
        <v>126</v>
      </c>
      <c r="H26" s="202"/>
      <c r="I26" s="202"/>
      <c r="J26" s="202"/>
      <c r="K26" s="202"/>
    </row>
    <row r="27" spans="1:11" s="196" customFormat="1" ht="12.75">
      <c r="A27" s="200">
        <v>5</v>
      </c>
      <c r="B27" s="158" t="s">
        <v>332</v>
      </c>
      <c r="C27" s="138">
        <f t="shared" si="1"/>
        <v>848</v>
      </c>
      <c r="D27" s="138">
        <v>212</v>
      </c>
      <c r="E27" s="138">
        <v>212</v>
      </c>
      <c r="F27" s="138">
        <v>212</v>
      </c>
      <c r="G27" s="138">
        <v>212</v>
      </c>
      <c r="H27" s="202"/>
      <c r="I27" s="202"/>
      <c r="J27" s="202"/>
      <c r="K27" s="202"/>
    </row>
    <row r="28" spans="1:11" s="196" customFormat="1" ht="15" customHeight="1">
      <c r="A28" s="200" t="s">
        <v>137</v>
      </c>
      <c r="B28" s="158" t="s">
        <v>254</v>
      </c>
      <c r="C28" s="138">
        <f>+C30+C31+C32+C33+C34</f>
        <v>58</v>
      </c>
      <c r="D28" s="138">
        <f>+D30+D31+D32+D33+D34</f>
        <v>17</v>
      </c>
      <c r="E28" s="138">
        <f>+E30+E31+E32+E33+E34</f>
        <v>7</v>
      </c>
      <c r="F28" s="138">
        <f>+F30+F31+F32+F33+F34</f>
        <v>27</v>
      </c>
      <c r="G28" s="138">
        <f>+G30+G31+G32+G33+G34</f>
        <v>7</v>
      </c>
      <c r="H28" s="202"/>
      <c r="I28" s="202"/>
      <c r="J28" s="202"/>
      <c r="K28" s="202"/>
    </row>
    <row r="29" spans="1:11" ht="12.75">
      <c r="A29" s="205"/>
      <c r="B29" s="217" t="s">
        <v>108</v>
      </c>
      <c r="C29" s="38"/>
      <c r="D29" s="38"/>
      <c r="E29" s="38"/>
      <c r="F29" s="38"/>
      <c r="G29" s="38"/>
      <c r="H29" s="18"/>
      <c r="I29" s="18"/>
      <c r="J29" s="18"/>
      <c r="K29" s="18"/>
    </row>
    <row r="30" spans="1:11" ht="14.25" customHeight="1">
      <c r="A30" s="205" t="s">
        <v>262</v>
      </c>
      <c r="B30" s="217" t="s">
        <v>110</v>
      </c>
      <c r="C30" s="38">
        <f>+D30+E30+F30+G30</f>
        <v>8</v>
      </c>
      <c r="D30" s="20">
        <v>2</v>
      </c>
      <c r="E30" s="20">
        <v>2</v>
      </c>
      <c r="F30" s="20">
        <v>2</v>
      </c>
      <c r="G30" s="20">
        <v>2</v>
      </c>
      <c r="H30" s="230"/>
      <c r="I30" s="7"/>
      <c r="J30" s="7"/>
      <c r="K30" s="18"/>
    </row>
    <row r="31" spans="1:11" ht="13.5" customHeight="1" hidden="1">
      <c r="A31" s="205" t="s">
        <v>263</v>
      </c>
      <c r="B31" s="219" t="s">
        <v>236</v>
      </c>
      <c r="C31" s="278">
        <f>+D31+E31+F31+G31</f>
        <v>0</v>
      </c>
      <c r="D31" s="279"/>
      <c r="E31" s="279"/>
      <c r="F31" s="279"/>
      <c r="G31" s="278"/>
      <c r="H31" s="230"/>
      <c r="I31" s="7"/>
      <c r="J31" s="7"/>
      <c r="K31" s="18"/>
    </row>
    <row r="32" spans="1:11" ht="12.75">
      <c r="A32" s="205" t="s">
        <v>263</v>
      </c>
      <c r="B32" s="217" t="s">
        <v>111</v>
      </c>
      <c r="C32" s="38">
        <f>+D32+E32+F32+G32</f>
        <v>16</v>
      </c>
      <c r="D32" s="20">
        <v>4</v>
      </c>
      <c r="E32" s="20">
        <v>4</v>
      </c>
      <c r="F32" s="20">
        <v>4</v>
      </c>
      <c r="G32" s="20">
        <v>4</v>
      </c>
      <c r="H32" s="18"/>
      <c r="I32" s="18"/>
      <c r="J32" s="18"/>
      <c r="K32" s="18"/>
    </row>
    <row r="33" spans="1:11" ht="12.75">
      <c r="A33" s="205" t="s">
        <v>264</v>
      </c>
      <c r="B33" s="217" t="s">
        <v>196</v>
      </c>
      <c r="C33" s="38">
        <f>+D33+E33+F33+G33</f>
        <v>30</v>
      </c>
      <c r="D33" s="20">
        <v>10</v>
      </c>
      <c r="E33" s="20">
        <v>0</v>
      </c>
      <c r="F33" s="20">
        <v>20</v>
      </c>
      <c r="G33" s="20">
        <v>0</v>
      </c>
      <c r="H33" s="18"/>
      <c r="I33" s="18"/>
      <c r="J33" s="18"/>
      <c r="K33" s="18"/>
    </row>
    <row r="34" spans="1:11" ht="12.75">
      <c r="A34" s="205" t="s">
        <v>265</v>
      </c>
      <c r="B34" s="219" t="s">
        <v>253</v>
      </c>
      <c r="C34" s="38">
        <f>+D34+E34+F34+G34</f>
        <v>4</v>
      </c>
      <c r="D34" s="20">
        <v>1</v>
      </c>
      <c r="E34" s="20">
        <v>1</v>
      </c>
      <c r="F34" s="20">
        <v>1</v>
      </c>
      <c r="G34" s="20">
        <v>1</v>
      </c>
      <c r="H34" s="18"/>
      <c r="I34" s="18"/>
      <c r="J34" s="18"/>
      <c r="K34" s="18"/>
    </row>
    <row r="35" spans="1:11" ht="12.75">
      <c r="A35" s="206"/>
      <c r="B35" s="218" t="s">
        <v>112</v>
      </c>
      <c r="C35" s="43">
        <f>+C13+C20+C25+C26+C27+C28</f>
        <v>8036</v>
      </c>
      <c r="D35" s="43">
        <f>+D13+D20+D25+D26+D27+D28</f>
        <v>2011.5</v>
      </c>
      <c r="E35" s="43">
        <f>+E13+E20+E25+E26+E27+E28</f>
        <v>2001.5</v>
      </c>
      <c r="F35" s="43">
        <f>+F13+F20+F25+F26+F27+F28</f>
        <v>2021.5</v>
      </c>
      <c r="G35" s="43">
        <f>+G13+G20+G25+G26+G27+G28</f>
        <v>2001.5</v>
      </c>
      <c r="H35" s="18"/>
      <c r="I35" s="18"/>
      <c r="J35" s="18"/>
      <c r="K35" s="18"/>
    </row>
    <row r="36" spans="3:11" ht="12.75">
      <c r="C36" s="45"/>
      <c r="D36" s="45"/>
      <c r="E36" s="45"/>
      <c r="F36" s="45"/>
      <c r="G36" s="45"/>
      <c r="H36" s="8"/>
      <c r="I36" s="8"/>
      <c r="J36" s="8"/>
      <c r="K36" s="18"/>
    </row>
    <row r="37" spans="1:11" s="66" customFormat="1" ht="15">
      <c r="A37" s="207"/>
      <c r="B37" s="192" t="s">
        <v>280</v>
      </c>
      <c r="C37" s="71"/>
      <c r="D37" s="78"/>
      <c r="E37" s="159" t="s">
        <v>320</v>
      </c>
      <c r="F37" s="193"/>
      <c r="H37" s="86"/>
      <c r="I37" s="86"/>
      <c r="J37" s="86"/>
      <c r="K37" s="86"/>
    </row>
    <row r="38" ht="17.25">
      <c r="A38" s="208" t="s">
        <v>146</v>
      </c>
    </row>
  </sheetData>
  <sheetProtection/>
  <mergeCells count="12">
    <mergeCell ref="D5:G5"/>
    <mergeCell ref="A7:G7"/>
    <mergeCell ref="D1:G1"/>
    <mergeCell ref="D2:G2"/>
    <mergeCell ref="D3:G3"/>
    <mergeCell ref="D4:G4"/>
    <mergeCell ref="A8:G8"/>
    <mergeCell ref="F9:G9"/>
    <mergeCell ref="A10:A11"/>
    <mergeCell ref="B10:B11"/>
    <mergeCell ref="C10:C11"/>
    <mergeCell ref="D10:G10"/>
  </mergeCells>
  <printOptions/>
  <pageMargins left="0.84" right="0.75" top="0.54" bottom="0.16" header="0.5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N3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.75390625" style="204" customWidth="1"/>
    <col min="2" max="2" width="64.125" style="11" customWidth="1"/>
    <col min="3" max="3" width="13.75390625" style="11" customWidth="1"/>
    <col min="4" max="4" width="11.375" style="11" customWidth="1"/>
    <col min="5" max="5" width="11.00390625" style="11" customWidth="1"/>
    <col min="6" max="6" width="11.375" style="11" customWidth="1"/>
    <col min="7" max="7" width="11.00390625" style="11" customWidth="1"/>
    <col min="8" max="9" width="9.125" style="11" customWidth="1"/>
    <col min="10" max="10" width="9.25390625" style="11" customWidth="1"/>
    <col min="11" max="11" width="7.875" style="11" customWidth="1"/>
    <col min="12" max="16384" width="9.125" style="11" customWidth="1"/>
  </cols>
  <sheetData>
    <row r="1" spans="1:8" ht="15">
      <c r="A1" s="203"/>
      <c r="B1" s="47"/>
      <c r="C1" s="47"/>
      <c r="D1" s="353" t="s">
        <v>78</v>
      </c>
      <c r="E1" s="353"/>
      <c r="F1" s="353"/>
      <c r="G1" s="353"/>
      <c r="H1" s="49"/>
    </row>
    <row r="2" spans="1:8" ht="15">
      <c r="A2" s="203"/>
      <c r="B2" s="47"/>
      <c r="C2" s="47"/>
      <c r="D2" s="353" t="s">
        <v>281</v>
      </c>
      <c r="E2" s="353"/>
      <c r="F2" s="353"/>
      <c r="G2" s="353"/>
      <c r="H2" s="49"/>
    </row>
    <row r="3" spans="1:8" ht="15">
      <c r="A3" s="203"/>
      <c r="B3" s="47"/>
      <c r="C3" s="47"/>
      <c r="D3" s="353" t="s">
        <v>188</v>
      </c>
      <c r="E3" s="353"/>
      <c r="F3" s="353"/>
      <c r="G3" s="353"/>
      <c r="H3" s="49"/>
    </row>
    <row r="4" spans="1:8" ht="15">
      <c r="A4" s="203"/>
      <c r="B4" s="47"/>
      <c r="C4" s="47"/>
      <c r="D4" s="352" t="s">
        <v>318</v>
      </c>
      <c r="E4" s="352"/>
      <c r="F4" s="352"/>
      <c r="G4" s="352"/>
      <c r="H4" s="297"/>
    </row>
    <row r="5" spans="1:8" ht="15">
      <c r="A5" s="203"/>
      <c r="B5" s="47"/>
      <c r="C5" s="47"/>
      <c r="D5" s="353" t="s">
        <v>346</v>
      </c>
      <c r="E5" s="353"/>
      <c r="F5" s="353"/>
      <c r="G5" s="353"/>
      <c r="H5" s="48"/>
    </row>
    <row r="6" spans="1:8" ht="12.75">
      <c r="A6" s="203"/>
      <c r="B6" s="47"/>
      <c r="C6" s="47"/>
      <c r="D6" s="48"/>
      <c r="E6" s="48"/>
      <c r="F6" s="48"/>
      <c r="G6" s="48"/>
      <c r="H6" s="48"/>
    </row>
    <row r="7" spans="1:8" ht="15">
      <c r="A7" s="353" t="s">
        <v>103</v>
      </c>
      <c r="B7" s="353"/>
      <c r="C7" s="353"/>
      <c r="D7" s="353"/>
      <c r="E7" s="353"/>
      <c r="F7" s="353"/>
      <c r="G7" s="353"/>
      <c r="H7" s="49"/>
    </row>
    <row r="8" spans="1:8" ht="15">
      <c r="A8" s="353" t="s">
        <v>333</v>
      </c>
      <c r="B8" s="353"/>
      <c r="C8" s="353"/>
      <c r="D8" s="353"/>
      <c r="E8" s="353"/>
      <c r="F8" s="353"/>
      <c r="G8" s="353"/>
      <c r="H8" s="49"/>
    </row>
    <row r="9" spans="6:9" ht="12.75">
      <c r="F9" s="359" t="s">
        <v>80</v>
      </c>
      <c r="G9" s="359"/>
      <c r="H9" s="259"/>
      <c r="I9" s="260"/>
    </row>
    <row r="10" spans="1:10" ht="12.75" customHeight="1">
      <c r="A10" s="360" t="s">
        <v>81</v>
      </c>
      <c r="B10" s="364" t="s">
        <v>82</v>
      </c>
      <c r="C10" s="363" t="s">
        <v>331</v>
      </c>
      <c r="D10" s="364" t="s">
        <v>83</v>
      </c>
      <c r="E10" s="364"/>
      <c r="F10" s="364"/>
      <c r="G10" s="364"/>
      <c r="H10" s="260"/>
      <c r="I10" s="73"/>
      <c r="J10" s="18"/>
    </row>
    <row r="11" spans="1:10" ht="12.75">
      <c r="A11" s="360"/>
      <c r="B11" s="364"/>
      <c r="C11" s="363"/>
      <c r="D11" s="57" t="s">
        <v>84</v>
      </c>
      <c r="E11" s="57" t="s">
        <v>85</v>
      </c>
      <c r="F11" s="57" t="s">
        <v>86</v>
      </c>
      <c r="G11" s="57" t="s">
        <v>87</v>
      </c>
      <c r="H11" s="260"/>
      <c r="I11" s="73"/>
      <c r="J11" s="18"/>
    </row>
    <row r="12" spans="1:10" ht="12.75">
      <c r="A12" s="140">
        <v>1</v>
      </c>
      <c r="B12" s="57">
        <v>2</v>
      </c>
      <c r="C12" s="57">
        <v>3</v>
      </c>
      <c r="D12" s="57">
        <v>4</v>
      </c>
      <c r="E12" s="57">
        <v>5</v>
      </c>
      <c r="F12" s="57">
        <v>6</v>
      </c>
      <c r="G12" s="57">
        <v>7</v>
      </c>
      <c r="H12" s="260"/>
      <c r="I12" s="73"/>
      <c r="J12" s="18"/>
    </row>
    <row r="13" spans="1:14" s="196" customFormat="1" ht="12.75">
      <c r="A13" s="200">
        <v>1</v>
      </c>
      <c r="B13" s="158" t="s">
        <v>113</v>
      </c>
      <c r="C13" s="138">
        <f>+D13+E13+F13+G13</f>
        <v>452000</v>
      </c>
      <c r="D13" s="138">
        <v>113000</v>
      </c>
      <c r="E13" s="138">
        <v>113000</v>
      </c>
      <c r="F13" s="138">
        <v>113000</v>
      </c>
      <c r="G13" s="138">
        <v>113000</v>
      </c>
      <c r="H13" s="210">
        <f>+G13+G14</f>
        <v>126560</v>
      </c>
      <c r="I13" s="261"/>
      <c r="J13" s="209"/>
      <c r="K13" s="209"/>
      <c r="L13" s="209"/>
      <c r="M13" s="209"/>
      <c r="N13" s="179"/>
    </row>
    <row r="14" spans="1:14" s="196" customFormat="1" ht="12.75">
      <c r="A14" s="200">
        <v>2</v>
      </c>
      <c r="B14" s="158" t="s">
        <v>298</v>
      </c>
      <c r="C14" s="138">
        <f>+D14+E14+F14+G14</f>
        <v>54240</v>
      </c>
      <c r="D14" s="138">
        <f>+D13*12%</f>
        <v>13560</v>
      </c>
      <c r="E14" s="138">
        <f>+E13*12%</f>
        <v>13560</v>
      </c>
      <c r="F14" s="138">
        <f>+F13*12%</f>
        <v>13560</v>
      </c>
      <c r="G14" s="138">
        <f>+G13*12%</f>
        <v>13560</v>
      </c>
      <c r="H14" s="210">
        <f>C13+C14</f>
        <v>506240</v>
      </c>
      <c r="I14" s="211"/>
      <c r="J14" s="179"/>
      <c r="K14" s="179"/>
      <c r="L14" s="179"/>
      <c r="M14" s="209"/>
      <c r="N14" s="179"/>
    </row>
    <row r="15" spans="1:14" s="196" customFormat="1" ht="12.75">
      <c r="A15" s="200">
        <v>3</v>
      </c>
      <c r="B15" s="158" t="s">
        <v>215</v>
      </c>
      <c r="C15" s="138">
        <f>+C17+C18+C19+C20+C21</f>
        <v>0</v>
      </c>
      <c r="D15" s="138">
        <f>+D17+D18+D19+D20+D21</f>
        <v>0</v>
      </c>
      <c r="E15" s="138">
        <f>+E17+E18+E19+E20+E21</f>
        <v>0</v>
      </c>
      <c r="F15" s="138">
        <f>+F17+F18+F19+F20+F21</f>
        <v>0</v>
      </c>
      <c r="G15" s="138">
        <f>+G17+G18+G19+G20+G21</f>
        <v>0</v>
      </c>
      <c r="H15" s="210"/>
      <c r="I15" s="262"/>
      <c r="J15" s="179"/>
      <c r="K15" s="179"/>
      <c r="L15" s="179"/>
      <c r="M15" s="179"/>
      <c r="N15" s="179"/>
    </row>
    <row r="16" spans="1:14" ht="12.75">
      <c r="A16" s="205"/>
      <c r="B16" s="217" t="s">
        <v>108</v>
      </c>
      <c r="C16" s="38"/>
      <c r="D16" s="38"/>
      <c r="E16" s="38"/>
      <c r="F16" s="38"/>
      <c r="G16" s="38"/>
      <c r="H16" s="72"/>
      <c r="I16" s="73"/>
      <c r="J16" s="18"/>
      <c r="K16" s="18"/>
      <c r="L16" s="8"/>
      <c r="M16" s="14"/>
      <c r="N16" s="8"/>
    </row>
    <row r="17" spans="1:14" ht="12.75">
      <c r="A17" s="205" t="s">
        <v>267</v>
      </c>
      <c r="B17" s="217" t="s">
        <v>114</v>
      </c>
      <c r="C17" s="38">
        <f aca="true" t="shared" si="0" ref="C17:C24">+D17+E17+F17+G17</f>
        <v>0</v>
      </c>
      <c r="D17" s="38"/>
      <c r="E17" s="38"/>
      <c r="F17" s="38"/>
      <c r="G17" s="38"/>
      <c r="H17" s="231"/>
      <c r="I17" s="73"/>
      <c r="J17" s="14"/>
      <c r="K17" s="14"/>
      <c r="L17" s="14"/>
      <c r="M17" s="14"/>
      <c r="N17" s="8"/>
    </row>
    <row r="18" spans="1:14" ht="12.75">
      <c r="A18" s="205" t="s">
        <v>268</v>
      </c>
      <c r="B18" s="217" t="s">
        <v>301</v>
      </c>
      <c r="C18" s="38">
        <f>+D18+E18+F18+G18</f>
        <v>0</v>
      </c>
      <c r="D18" s="38">
        <f>+D17*25%</f>
        <v>0</v>
      </c>
      <c r="E18" s="38">
        <f>+E17*25%</f>
        <v>0</v>
      </c>
      <c r="F18" s="38">
        <f>+F17*25%</f>
        <v>0</v>
      </c>
      <c r="G18" s="38">
        <f>+G17*25%</f>
        <v>0</v>
      </c>
      <c r="H18" s="8"/>
      <c r="I18" s="18"/>
      <c r="J18" s="8"/>
      <c r="K18" s="8"/>
      <c r="L18" s="8"/>
      <c r="M18" s="14"/>
      <c r="N18" s="8"/>
    </row>
    <row r="19" spans="1:14" ht="12.75">
      <c r="A19" s="205" t="s">
        <v>269</v>
      </c>
      <c r="B19" s="217" t="s">
        <v>115</v>
      </c>
      <c r="C19" s="38">
        <f t="shared" si="0"/>
        <v>0</v>
      </c>
      <c r="D19" s="38">
        <v>0</v>
      </c>
      <c r="E19" s="38">
        <v>0</v>
      </c>
      <c r="F19" s="38">
        <v>0</v>
      </c>
      <c r="G19" s="38">
        <v>0</v>
      </c>
      <c r="H19" s="8"/>
      <c r="I19" s="231"/>
      <c r="J19" s="14"/>
      <c r="K19" s="14"/>
      <c r="L19" s="14"/>
      <c r="M19" s="14"/>
      <c r="N19" s="8"/>
    </row>
    <row r="20" spans="1:14" ht="12.75">
      <c r="A20" s="205" t="s">
        <v>270</v>
      </c>
      <c r="B20" s="217" t="s">
        <v>116</v>
      </c>
      <c r="C20" s="38">
        <f t="shared" si="0"/>
        <v>0</v>
      </c>
      <c r="D20" s="38">
        <v>0</v>
      </c>
      <c r="E20" s="38">
        <v>0</v>
      </c>
      <c r="F20" s="38">
        <v>0</v>
      </c>
      <c r="G20" s="38">
        <v>0</v>
      </c>
      <c r="H20" s="141"/>
      <c r="I20" s="73"/>
      <c r="J20" s="74"/>
      <c r="K20" s="74"/>
      <c r="L20" s="74"/>
      <c r="M20" s="74"/>
      <c r="N20" s="72"/>
    </row>
    <row r="21" spans="1:14" ht="12.75">
      <c r="A21" s="205" t="s">
        <v>271</v>
      </c>
      <c r="B21" s="217" t="s">
        <v>117</v>
      </c>
      <c r="C21" s="38">
        <f t="shared" si="0"/>
        <v>0</v>
      </c>
      <c r="D21" s="38">
        <v>0</v>
      </c>
      <c r="E21" s="38">
        <v>0</v>
      </c>
      <c r="F21" s="38">
        <v>0</v>
      </c>
      <c r="G21" s="38">
        <v>0</v>
      </c>
      <c r="H21" s="142"/>
      <c r="I21" s="1"/>
      <c r="J21" s="74"/>
      <c r="K21" s="74"/>
      <c r="L21" s="74"/>
      <c r="M21" s="74"/>
      <c r="N21" s="72"/>
    </row>
    <row r="22" spans="1:14" s="196" customFormat="1" ht="12.75">
      <c r="A22" s="200">
        <v>4</v>
      </c>
      <c r="B22" s="158" t="s">
        <v>121</v>
      </c>
      <c r="C22" s="134">
        <f t="shared" si="0"/>
        <v>2000</v>
      </c>
      <c r="D22" s="38">
        <v>500</v>
      </c>
      <c r="E22" s="38">
        <v>500</v>
      </c>
      <c r="F22" s="38">
        <v>500</v>
      </c>
      <c r="G22" s="38">
        <v>500</v>
      </c>
      <c r="H22" s="210"/>
      <c r="I22" s="211"/>
      <c r="J22" s="212"/>
      <c r="K22" s="212"/>
      <c r="L22" s="212"/>
      <c r="M22" s="213"/>
      <c r="N22" s="210"/>
    </row>
    <row r="23" spans="1:14" s="196" customFormat="1" ht="12.75">
      <c r="A23" s="200">
        <v>5</v>
      </c>
      <c r="B23" s="158" t="s">
        <v>237</v>
      </c>
      <c r="C23" s="134">
        <f t="shared" si="0"/>
        <v>8000</v>
      </c>
      <c r="D23" s="134">
        <v>2000</v>
      </c>
      <c r="E23" s="134">
        <v>2000</v>
      </c>
      <c r="F23" s="134">
        <v>2000</v>
      </c>
      <c r="G23" s="134">
        <v>2000</v>
      </c>
      <c r="H23" s="179"/>
      <c r="I23" s="211"/>
      <c r="J23" s="212"/>
      <c r="K23" s="212"/>
      <c r="L23" s="212"/>
      <c r="M23" s="213"/>
      <c r="N23" s="210"/>
    </row>
    <row r="24" spans="1:14" s="196" customFormat="1" ht="26.25" customHeight="1">
      <c r="A24" s="200">
        <v>6</v>
      </c>
      <c r="B24" s="216" t="s">
        <v>118</v>
      </c>
      <c r="C24" s="134">
        <f t="shared" si="0"/>
        <v>26600</v>
      </c>
      <c r="D24" s="134">
        <f>+D26+D27+D28+D29</f>
        <v>6650</v>
      </c>
      <c r="E24" s="134">
        <f>+E26+E27+E28+E29</f>
        <v>6650</v>
      </c>
      <c r="F24" s="134">
        <f>+F26+F27+F28+F29</f>
        <v>6650</v>
      </c>
      <c r="G24" s="134">
        <f>+G26+G27+G28+G29</f>
        <v>6650</v>
      </c>
      <c r="H24" s="210"/>
      <c r="I24" s="211"/>
      <c r="J24" s="210"/>
      <c r="K24" s="210"/>
      <c r="L24" s="210"/>
      <c r="M24" s="213"/>
      <c r="N24" s="210"/>
    </row>
    <row r="25" spans="1:14" ht="12.75">
      <c r="A25" s="205"/>
      <c r="B25" s="217" t="s">
        <v>108</v>
      </c>
      <c r="C25" s="20"/>
      <c r="D25" s="20"/>
      <c r="E25" s="20"/>
      <c r="F25" s="20"/>
      <c r="G25" s="20"/>
      <c r="H25" s="141"/>
      <c r="I25" s="73"/>
      <c r="J25" s="73"/>
      <c r="K25" s="73"/>
      <c r="L25" s="72"/>
      <c r="M25" s="74"/>
      <c r="N25" s="72"/>
    </row>
    <row r="26" spans="1:14" ht="12.75">
      <c r="A26" s="205" t="s">
        <v>262</v>
      </c>
      <c r="B26" s="217" t="s">
        <v>119</v>
      </c>
      <c r="C26" s="38">
        <f>+D26+E26+F26+G26</f>
        <v>16000</v>
      </c>
      <c r="D26" s="20">
        <v>4000</v>
      </c>
      <c r="E26" s="20">
        <v>4000</v>
      </c>
      <c r="F26" s="20">
        <v>4000</v>
      </c>
      <c r="G26" s="20">
        <v>4000</v>
      </c>
      <c r="H26" s="141"/>
      <c r="I26" s="73"/>
      <c r="J26" s="75"/>
      <c r="K26" s="75"/>
      <c r="L26" s="75"/>
      <c r="M26" s="74"/>
      <c r="N26" s="72"/>
    </row>
    <row r="27" spans="1:14" ht="12.75">
      <c r="A27" s="205" t="s">
        <v>263</v>
      </c>
      <c r="B27" s="217" t="s">
        <v>120</v>
      </c>
      <c r="C27" s="38">
        <f>+D27+E27+F27+G27</f>
        <v>0</v>
      </c>
      <c r="D27" s="20">
        <v>0</v>
      </c>
      <c r="E27" s="20">
        <v>0</v>
      </c>
      <c r="F27" s="20">
        <v>0</v>
      </c>
      <c r="G27" s="20">
        <v>0</v>
      </c>
      <c r="H27" s="141"/>
      <c r="I27" s="73"/>
      <c r="J27" s="75"/>
      <c r="K27" s="76"/>
      <c r="L27" s="75"/>
      <c r="M27" s="74"/>
      <c r="N27" s="72"/>
    </row>
    <row r="28" spans="1:14" ht="12.75">
      <c r="A28" s="205" t="s">
        <v>264</v>
      </c>
      <c r="B28" s="217" t="s">
        <v>122</v>
      </c>
      <c r="C28" s="38">
        <v>5400</v>
      </c>
      <c r="D28" s="38">
        <v>1350</v>
      </c>
      <c r="E28" s="38">
        <v>1350</v>
      </c>
      <c r="F28" s="38">
        <v>1350</v>
      </c>
      <c r="G28" s="38">
        <v>1350</v>
      </c>
      <c r="H28" s="72"/>
      <c r="I28" s="73"/>
      <c r="J28" s="75"/>
      <c r="K28" s="75"/>
      <c r="L28" s="75"/>
      <c r="M28" s="74"/>
      <c r="N28" s="72"/>
    </row>
    <row r="29" spans="1:14" ht="12.75">
      <c r="A29" s="205" t="s">
        <v>265</v>
      </c>
      <c r="B29" s="217" t="s">
        <v>307</v>
      </c>
      <c r="C29" s="38">
        <f>+D29+E29+F29+G29</f>
        <v>5200</v>
      </c>
      <c r="D29" s="38">
        <v>1300</v>
      </c>
      <c r="E29" s="38">
        <v>1300</v>
      </c>
      <c r="F29" s="38">
        <v>1300</v>
      </c>
      <c r="G29" s="38">
        <v>1300</v>
      </c>
      <c r="H29" s="72"/>
      <c r="I29" s="73"/>
      <c r="J29" s="75"/>
      <c r="K29" s="75"/>
      <c r="L29" s="75"/>
      <c r="M29" s="74"/>
      <c r="N29" s="72"/>
    </row>
    <row r="30" spans="1:14" ht="12.75">
      <c r="A30" s="206"/>
      <c r="B30" s="218" t="s">
        <v>123</v>
      </c>
      <c r="C30" s="46">
        <f>+C13+C14+C15+C22+C23+C24</f>
        <v>542840</v>
      </c>
      <c r="D30" s="46">
        <f>+D13+D14+D15+D22+D23+D24</f>
        <v>135710</v>
      </c>
      <c r="E30" s="46">
        <f>+E13+E14+E15+E22+E23+E24</f>
        <v>135710</v>
      </c>
      <c r="F30" s="46">
        <f>+F13+F14+F15+F22+F23+F24</f>
        <v>135710</v>
      </c>
      <c r="G30" s="46">
        <f>+G13+G14+G15+G22+G23+G24</f>
        <v>135710</v>
      </c>
      <c r="H30" s="8"/>
      <c r="I30" s="5"/>
      <c r="J30" s="15"/>
      <c r="K30" s="15"/>
      <c r="L30" s="15"/>
      <c r="M30" s="15"/>
      <c r="N30" s="8"/>
    </row>
    <row r="31" spans="1:14" ht="12.75">
      <c r="A31" s="214"/>
      <c r="B31" s="58"/>
      <c r="C31" s="56"/>
      <c r="D31" s="56"/>
      <c r="E31" s="56"/>
      <c r="F31" s="56"/>
      <c r="G31" s="56"/>
      <c r="H31" s="8"/>
      <c r="I31" s="5"/>
      <c r="J31" s="15"/>
      <c r="K31" s="15"/>
      <c r="L31" s="15"/>
      <c r="M31" s="15"/>
      <c r="N31" s="8"/>
    </row>
    <row r="32" spans="1:14" ht="12.75">
      <c r="A32" s="214"/>
      <c r="B32" s="58"/>
      <c r="C32" s="56"/>
      <c r="D32" s="56"/>
      <c r="E32" s="56"/>
      <c r="F32" s="56"/>
      <c r="G32" s="56"/>
      <c r="H32" s="8"/>
      <c r="I32" s="5"/>
      <c r="J32" s="15"/>
      <c r="K32" s="15"/>
      <c r="L32" s="15"/>
      <c r="M32" s="15"/>
      <c r="N32" s="8"/>
    </row>
    <row r="33" spans="1:14" ht="12.75">
      <c r="A33" s="214"/>
      <c r="B33" s="58"/>
      <c r="C33" s="56"/>
      <c r="D33" s="56"/>
      <c r="E33" s="56"/>
      <c r="F33" s="56"/>
      <c r="G33" s="56"/>
      <c r="H33" s="8"/>
      <c r="I33" s="5"/>
      <c r="J33" s="15"/>
      <c r="K33" s="15"/>
      <c r="L33" s="15"/>
      <c r="M33" s="15"/>
      <c r="N33" s="8"/>
    </row>
    <row r="34" spans="1:14" ht="15">
      <c r="A34" s="214"/>
      <c r="B34" s="192" t="s">
        <v>280</v>
      </c>
      <c r="C34" s="71"/>
      <c r="D34" s="71"/>
      <c r="E34" s="159" t="s">
        <v>320</v>
      </c>
      <c r="F34" s="193"/>
      <c r="G34" s="56"/>
      <c r="H34" s="8"/>
      <c r="I34" s="5"/>
      <c r="J34" s="15"/>
      <c r="K34" s="15"/>
      <c r="L34" s="15"/>
      <c r="M34" s="15"/>
      <c r="N34" s="8"/>
    </row>
    <row r="35" spans="1:14" s="66" customFormat="1" ht="15">
      <c r="A35" s="207"/>
      <c r="E35" s="220"/>
      <c r="F35" s="220"/>
      <c r="G35" s="86"/>
      <c r="H35" s="86"/>
      <c r="I35" s="86"/>
      <c r="J35" s="87"/>
      <c r="K35" s="86"/>
      <c r="L35" s="87"/>
      <c r="M35" s="86"/>
      <c r="N35" s="86"/>
    </row>
    <row r="36" ht="17.25">
      <c r="A36" s="208" t="s">
        <v>148</v>
      </c>
    </row>
  </sheetData>
  <sheetProtection/>
  <mergeCells count="12">
    <mergeCell ref="D1:G1"/>
    <mergeCell ref="D2:G2"/>
    <mergeCell ref="D3:G3"/>
    <mergeCell ref="D4:G4"/>
    <mergeCell ref="D5:G5"/>
    <mergeCell ref="C10:C11"/>
    <mergeCell ref="D10:G10"/>
    <mergeCell ref="A7:G7"/>
    <mergeCell ref="A8:G8"/>
    <mergeCell ref="F9:G9"/>
    <mergeCell ref="A10:A11"/>
    <mergeCell ref="B10:B11"/>
  </mergeCells>
  <printOptions/>
  <pageMargins left="0.75" right="0.75" top="1.03" bottom="0.16" header="0.5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S122"/>
  <sheetViews>
    <sheetView zoomScaleSheetLayoutView="115" zoomScalePageLayoutView="0" workbookViewId="0" topLeftCell="A1">
      <selection activeCell="J4" sqref="J4:M5"/>
    </sheetView>
  </sheetViews>
  <sheetFormatPr defaultColWidth="9.00390625" defaultRowHeight="12.75"/>
  <cols>
    <col min="1" max="1" width="5.625" style="52" customWidth="1"/>
    <col min="2" max="7" width="9.125" style="132" customWidth="1"/>
    <col min="8" max="8" width="19.625" style="132" customWidth="1"/>
    <col min="9" max="9" width="15.00390625" style="52" customWidth="1"/>
    <col min="10" max="10" width="11.125" style="52" customWidth="1"/>
    <col min="11" max="11" width="10.75390625" style="52" customWidth="1"/>
    <col min="12" max="12" width="10.25390625" style="52" customWidth="1"/>
    <col min="13" max="13" width="11.875" style="52" customWidth="1"/>
    <col min="14" max="14" width="9.00390625" style="52" customWidth="1"/>
    <col min="15" max="15" width="11.375" style="52" customWidth="1"/>
    <col min="16" max="16" width="10.00390625" style="52" customWidth="1"/>
    <col min="17" max="16384" width="9.125" style="52" customWidth="1"/>
  </cols>
  <sheetData>
    <row r="1" spans="1:14" ht="15">
      <c r="A1" s="51"/>
      <c r="B1" s="115"/>
      <c r="C1" s="115"/>
      <c r="D1" s="115"/>
      <c r="E1" s="115"/>
      <c r="F1" s="115"/>
      <c r="G1" s="115"/>
      <c r="H1" s="115"/>
      <c r="I1" s="51"/>
      <c r="J1" s="353" t="s">
        <v>78</v>
      </c>
      <c r="K1" s="353"/>
      <c r="L1" s="353"/>
      <c r="M1" s="353"/>
      <c r="N1" s="51"/>
    </row>
    <row r="2" spans="1:13" ht="15">
      <c r="A2" s="51"/>
      <c r="B2" s="115"/>
      <c r="C2" s="115"/>
      <c r="D2" s="115"/>
      <c r="E2" s="115"/>
      <c r="F2" s="115"/>
      <c r="G2" s="115"/>
      <c r="H2" s="115"/>
      <c r="I2" s="51"/>
      <c r="J2" s="353" t="s">
        <v>281</v>
      </c>
      <c r="K2" s="353"/>
      <c r="L2" s="353"/>
      <c r="M2" s="353"/>
    </row>
    <row r="3" spans="1:13" ht="15">
      <c r="A3" s="51"/>
      <c r="B3" s="115"/>
      <c r="C3" s="115"/>
      <c r="D3" s="115"/>
      <c r="E3" s="115"/>
      <c r="F3" s="115"/>
      <c r="G3" s="115"/>
      <c r="H3" s="115"/>
      <c r="I3" s="51"/>
      <c r="J3" s="353" t="s">
        <v>188</v>
      </c>
      <c r="K3" s="353"/>
      <c r="L3" s="353"/>
      <c r="M3" s="353"/>
    </row>
    <row r="4" spans="1:14" ht="15">
      <c r="A4" s="51"/>
      <c r="B4" s="115"/>
      <c r="C4" s="115"/>
      <c r="D4" s="115"/>
      <c r="E4" s="115"/>
      <c r="F4" s="115"/>
      <c r="G4" s="115"/>
      <c r="H4" s="115"/>
      <c r="I4" s="51"/>
      <c r="J4" s="352" t="s">
        <v>318</v>
      </c>
      <c r="K4" s="352"/>
      <c r="L4" s="352"/>
      <c r="M4" s="352"/>
      <c r="N4" s="297"/>
    </row>
    <row r="5" spans="1:14" ht="15">
      <c r="A5" s="51"/>
      <c r="B5" s="115"/>
      <c r="C5" s="115"/>
      <c r="D5" s="115"/>
      <c r="E5" s="115"/>
      <c r="F5" s="115"/>
      <c r="G5" s="115"/>
      <c r="H5" s="115"/>
      <c r="I5" s="51"/>
      <c r="J5" s="353" t="s">
        <v>347</v>
      </c>
      <c r="K5" s="353"/>
      <c r="L5" s="353"/>
      <c r="M5" s="353"/>
      <c r="N5" s="116"/>
    </row>
    <row r="6" spans="1:14" ht="12.75">
      <c r="A6" s="51"/>
      <c r="B6" s="115"/>
      <c r="C6" s="115"/>
      <c r="D6" s="115"/>
      <c r="E6" s="115"/>
      <c r="F6" s="115"/>
      <c r="G6" s="115"/>
      <c r="H6" s="115"/>
      <c r="I6" s="51"/>
      <c r="J6" s="48"/>
      <c r="K6" s="48"/>
      <c r="L6" s="48"/>
      <c r="M6" s="48"/>
      <c r="N6" s="116"/>
    </row>
    <row r="7" spans="1:14" ht="15">
      <c r="A7" s="367" t="s">
        <v>79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51"/>
    </row>
    <row r="8" spans="1:14" ht="15">
      <c r="A8" s="367" t="s">
        <v>334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51"/>
    </row>
    <row r="9" spans="1:14" ht="12.75">
      <c r="A9" s="13"/>
      <c r="B9" s="117"/>
      <c r="C9" s="117"/>
      <c r="D9" s="117"/>
      <c r="E9" s="117"/>
      <c r="F9" s="117"/>
      <c r="G9" s="117"/>
      <c r="H9" s="117"/>
      <c r="I9" s="13"/>
      <c r="J9" s="13"/>
      <c r="K9" s="13"/>
      <c r="L9" s="368" t="s">
        <v>80</v>
      </c>
      <c r="M9" s="368"/>
      <c r="N9" s="118"/>
    </row>
    <row r="10" spans="1:13" ht="12.75" customHeight="1">
      <c r="A10" s="361" t="s">
        <v>81</v>
      </c>
      <c r="B10" s="360" t="s">
        <v>82</v>
      </c>
      <c r="C10" s="360"/>
      <c r="D10" s="360"/>
      <c r="E10" s="360"/>
      <c r="F10" s="360"/>
      <c r="G10" s="360"/>
      <c r="H10" s="360"/>
      <c r="I10" s="362" t="s">
        <v>331</v>
      </c>
      <c r="J10" s="361" t="s">
        <v>83</v>
      </c>
      <c r="K10" s="361"/>
      <c r="L10" s="361"/>
      <c r="M10" s="361"/>
    </row>
    <row r="11" spans="1:13" ht="12.75">
      <c r="A11" s="361"/>
      <c r="B11" s="360"/>
      <c r="C11" s="360"/>
      <c r="D11" s="360"/>
      <c r="E11" s="360"/>
      <c r="F11" s="360"/>
      <c r="G11" s="360"/>
      <c r="H11" s="360"/>
      <c r="I11" s="362"/>
      <c r="J11" s="46" t="s">
        <v>84</v>
      </c>
      <c r="K11" s="46" t="s">
        <v>85</v>
      </c>
      <c r="L11" s="46" t="s">
        <v>86</v>
      </c>
      <c r="M11" s="46" t="s">
        <v>87</v>
      </c>
    </row>
    <row r="12" spans="1:13" ht="12.75">
      <c r="A12" s="46">
        <v>1</v>
      </c>
      <c r="B12" s="360">
        <v>2</v>
      </c>
      <c r="C12" s="360"/>
      <c r="D12" s="360"/>
      <c r="E12" s="360"/>
      <c r="F12" s="360"/>
      <c r="G12" s="360"/>
      <c r="H12" s="360"/>
      <c r="I12" s="46">
        <v>3</v>
      </c>
      <c r="J12" s="46">
        <v>4</v>
      </c>
      <c r="K12" s="46">
        <v>5</v>
      </c>
      <c r="L12" s="46">
        <v>6</v>
      </c>
      <c r="M12" s="46">
        <v>7</v>
      </c>
    </row>
    <row r="13" spans="1:13" ht="27.75" customHeight="1">
      <c r="A13" s="369" t="s">
        <v>239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1"/>
    </row>
    <row r="14" spans="1:15" ht="15" customHeight="1">
      <c r="A14" s="20">
        <v>1</v>
      </c>
      <c r="B14" s="372" t="s">
        <v>88</v>
      </c>
      <c r="C14" s="372"/>
      <c r="D14" s="372"/>
      <c r="E14" s="372"/>
      <c r="F14" s="372"/>
      <c r="G14" s="372"/>
      <c r="H14" s="372"/>
      <c r="I14" s="138">
        <f>+I15+I16+I17+I18+I19+I21+I20+I22+I23</f>
        <v>711107</v>
      </c>
      <c r="J14" s="38">
        <f>+J15+J16+J17+J18+J19+J21+J20+J22</f>
        <v>162044</v>
      </c>
      <c r="K14" s="38">
        <f>+K15+K16+K17+K18+K19+K21+K20+K22</f>
        <v>199556</v>
      </c>
      <c r="L14" s="38">
        <f>+L15+L16+L17+L18+L19+L21+L20+L22</f>
        <v>144277</v>
      </c>
      <c r="M14" s="38">
        <f>+M15+M16+M17+M18+M19+M21+M20+M22</f>
        <v>145230</v>
      </c>
      <c r="O14" s="13"/>
    </row>
    <row r="15" spans="1:15" ht="15" customHeight="1">
      <c r="A15" s="20"/>
      <c r="B15" s="372" t="s">
        <v>300</v>
      </c>
      <c r="C15" s="372"/>
      <c r="D15" s="372"/>
      <c r="E15" s="372"/>
      <c r="F15" s="372"/>
      <c r="G15" s="372"/>
      <c r="H15" s="372"/>
      <c r="I15" s="38">
        <f>+J15+K15+L15+M15</f>
        <v>334607</v>
      </c>
      <c r="J15" s="38">
        <v>85544</v>
      </c>
      <c r="K15" s="38">
        <v>79556</v>
      </c>
      <c r="L15" s="38">
        <v>84277</v>
      </c>
      <c r="M15" s="38">
        <v>85230</v>
      </c>
      <c r="N15" s="6"/>
      <c r="O15" s="13"/>
    </row>
    <row r="16" spans="1:15" ht="15" customHeight="1">
      <c r="A16" s="20"/>
      <c r="B16" s="372" t="s">
        <v>299</v>
      </c>
      <c r="C16" s="372"/>
      <c r="D16" s="372"/>
      <c r="E16" s="372"/>
      <c r="F16" s="372"/>
      <c r="G16" s="372"/>
      <c r="H16" s="372"/>
      <c r="I16" s="38">
        <f aca="true" t="shared" si="0" ref="I16:I29">+J16+K16+L16+M16</f>
        <v>0</v>
      </c>
      <c r="J16" s="38"/>
      <c r="K16" s="38"/>
      <c r="L16" s="38"/>
      <c r="M16" s="38"/>
      <c r="O16" s="13"/>
    </row>
    <row r="17" spans="1:16" ht="14.25" customHeight="1">
      <c r="A17" s="20"/>
      <c r="B17" s="372" t="s">
        <v>315</v>
      </c>
      <c r="C17" s="372"/>
      <c r="D17" s="372"/>
      <c r="E17" s="372"/>
      <c r="F17" s="372"/>
      <c r="G17" s="372"/>
      <c r="H17" s="372"/>
      <c r="I17" s="38">
        <f t="shared" si="0"/>
        <v>60000</v>
      </c>
      <c r="J17" s="38"/>
      <c r="K17" s="38">
        <v>60000</v>
      </c>
      <c r="L17" s="38"/>
      <c r="M17" s="38"/>
      <c r="O17" s="13"/>
      <c r="P17" s="133"/>
    </row>
    <row r="18" spans="1:15" ht="14.25" customHeight="1">
      <c r="A18" s="20"/>
      <c r="B18" s="372" t="s">
        <v>335</v>
      </c>
      <c r="C18" s="372"/>
      <c r="D18" s="372"/>
      <c r="E18" s="372"/>
      <c r="F18" s="372"/>
      <c r="G18" s="372"/>
      <c r="H18" s="372"/>
      <c r="I18" s="38">
        <f t="shared" si="0"/>
        <v>16500</v>
      </c>
      <c r="J18" s="38">
        <v>16500</v>
      </c>
      <c r="K18" s="38"/>
      <c r="L18" s="38"/>
      <c r="M18" s="38"/>
      <c r="O18" s="13"/>
    </row>
    <row r="19" spans="1:15" ht="15" customHeight="1">
      <c r="A19" s="20"/>
      <c r="B19" s="372" t="s">
        <v>338</v>
      </c>
      <c r="C19" s="372"/>
      <c r="D19" s="372"/>
      <c r="E19" s="372"/>
      <c r="F19" s="372"/>
      <c r="G19" s="372"/>
      <c r="H19" s="372"/>
      <c r="I19" s="38">
        <f t="shared" si="0"/>
        <v>60000</v>
      </c>
      <c r="J19" s="38">
        <v>60000</v>
      </c>
      <c r="K19" s="38"/>
      <c r="L19" s="38"/>
      <c r="M19" s="38"/>
      <c r="O19" s="13"/>
    </row>
    <row r="20" spans="1:15" ht="16.5" customHeight="1">
      <c r="A20" s="20"/>
      <c r="B20" s="372" t="s">
        <v>339</v>
      </c>
      <c r="C20" s="372"/>
      <c r="D20" s="372"/>
      <c r="E20" s="372"/>
      <c r="F20" s="372"/>
      <c r="G20" s="372"/>
      <c r="H20" s="372"/>
      <c r="I20" s="38">
        <f t="shared" si="0"/>
        <v>60000</v>
      </c>
      <c r="J20" s="20"/>
      <c r="K20" s="20"/>
      <c r="L20" s="38">
        <v>60000</v>
      </c>
      <c r="M20" s="20"/>
      <c r="O20" s="13"/>
    </row>
    <row r="21" spans="1:15" ht="17.25" customHeight="1">
      <c r="A21" s="20"/>
      <c r="B21" s="372" t="s">
        <v>316</v>
      </c>
      <c r="C21" s="372"/>
      <c r="D21" s="372"/>
      <c r="E21" s="372"/>
      <c r="F21" s="372"/>
      <c r="G21" s="372"/>
      <c r="H21" s="372"/>
      <c r="I21" s="38">
        <f t="shared" si="0"/>
        <v>60000</v>
      </c>
      <c r="J21" s="20"/>
      <c r="K21" s="38">
        <v>60000</v>
      </c>
      <c r="L21" s="20"/>
      <c r="M21" s="20"/>
      <c r="O21" s="13"/>
    </row>
    <row r="22" spans="1:15" ht="16.5" customHeight="1">
      <c r="A22" s="20"/>
      <c r="B22" s="376" t="s">
        <v>317</v>
      </c>
      <c r="C22" s="376"/>
      <c r="D22" s="376"/>
      <c r="E22" s="376"/>
      <c r="F22" s="376"/>
      <c r="G22" s="376"/>
      <c r="H22" s="376"/>
      <c r="I22" s="38">
        <f t="shared" si="0"/>
        <v>60000</v>
      </c>
      <c r="J22" s="20"/>
      <c r="K22" s="20"/>
      <c r="L22" s="20"/>
      <c r="M22" s="38">
        <v>60000</v>
      </c>
      <c r="O22" s="13"/>
    </row>
    <row r="23" spans="1:15" ht="16.5" customHeight="1">
      <c r="A23" s="282"/>
      <c r="B23" s="373" t="s">
        <v>340</v>
      </c>
      <c r="C23" s="374"/>
      <c r="D23" s="374"/>
      <c r="E23" s="374"/>
      <c r="F23" s="374"/>
      <c r="G23" s="374"/>
      <c r="H23" s="375"/>
      <c r="I23" s="38">
        <f t="shared" si="0"/>
        <v>60000</v>
      </c>
      <c r="J23" s="20"/>
      <c r="K23" s="20"/>
      <c r="L23" s="20"/>
      <c r="M23" s="38">
        <v>60000</v>
      </c>
      <c r="O23" s="13"/>
    </row>
    <row r="24" spans="1:15" ht="16.5" customHeight="1">
      <c r="A24" s="20">
        <v>2</v>
      </c>
      <c r="B24" s="377" t="s">
        <v>89</v>
      </c>
      <c r="C24" s="377"/>
      <c r="D24" s="377"/>
      <c r="E24" s="377"/>
      <c r="F24" s="377"/>
      <c r="G24" s="377"/>
      <c r="H24" s="377"/>
      <c r="I24" s="38">
        <f t="shared" si="0"/>
        <v>79941</v>
      </c>
      <c r="J24" s="20">
        <v>19985</v>
      </c>
      <c r="K24" s="20">
        <v>19985</v>
      </c>
      <c r="L24" s="20">
        <v>19986</v>
      </c>
      <c r="M24" s="20">
        <v>19985</v>
      </c>
      <c r="N24" s="7"/>
      <c r="O24" s="13"/>
    </row>
    <row r="25" spans="1:15" ht="15.75" customHeight="1">
      <c r="A25" s="20">
        <v>3</v>
      </c>
      <c r="B25" s="372" t="s">
        <v>198</v>
      </c>
      <c r="C25" s="372"/>
      <c r="D25" s="372"/>
      <c r="E25" s="372"/>
      <c r="F25" s="372"/>
      <c r="G25" s="372"/>
      <c r="H25" s="372"/>
      <c r="I25" s="38">
        <f t="shared" si="0"/>
        <v>0</v>
      </c>
      <c r="J25" s="20"/>
      <c r="K25" s="20"/>
      <c r="L25" s="20"/>
      <c r="M25" s="20"/>
      <c r="O25" s="13"/>
    </row>
    <row r="26" spans="1:15" ht="16.5" customHeight="1">
      <c r="A26" s="20">
        <v>4</v>
      </c>
      <c r="B26" s="372" t="s">
        <v>90</v>
      </c>
      <c r="C26" s="372"/>
      <c r="D26" s="372"/>
      <c r="E26" s="372"/>
      <c r="F26" s="372"/>
      <c r="G26" s="372"/>
      <c r="H26" s="372"/>
      <c r="I26" s="38">
        <f t="shared" si="0"/>
        <v>0</v>
      </c>
      <c r="J26" s="20"/>
      <c r="K26" s="20"/>
      <c r="L26" s="20"/>
      <c r="M26" s="20"/>
      <c r="O26" s="13"/>
    </row>
    <row r="27" spans="1:15" ht="16.5" customHeight="1">
      <c r="A27" s="20"/>
      <c r="B27" s="372" t="s">
        <v>341</v>
      </c>
      <c r="C27" s="372"/>
      <c r="D27" s="372"/>
      <c r="E27" s="372"/>
      <c r="F27" s="372"/>
      <c r="G27" s="372"/>
      <c r="H27" s="372"/>
      <c r="I27" s="346">
        <f t="shared" si="0"/>
        <v>60000</v>
      </c>
      <c r="J27" s="20"/>
      <c r="K27" s="20"/>
      <c r="L27" s="20"/>
      <c r="M27" s="38">
        <v>60000</v>
      </c>
      <c r="O27" s="13"/>
    </row>
    <row r="28" spans="1:15" ht="16.5" customHeight="1">
      <c r="A28" s="20"/>
      <c r="B28" s="372" t="s">
        <v>197</v>
      </c>
      <c r="C28" s="372"/>
      <c r="D28" s="372"/>
      <c r="E28" s="372"/>
      <c r="F28" s="372"/>
      <c r="G28" s="372"/>
      <c r="H28" s="372"/>
      <c r="I28" s="138">
        <f t="shared" si="0"/>
        <v>648000</v>
      </c>
      <c r="J28" s="20">
        <v>162000</v>
      </c>
      <c r="K28" s="20">
        <v>162000</v>
      </c>
      <c r="L28" s="20">
        <v>162000</v>
      </c>
      <c r="M28" s="20">
        <v>162000</v>
      </c>
      <c r="N28" s="7"/>
      <c r="O28" s="119"/>
    </row>
    <row r="29" spans="1:15" ht="18" customHeight="1">
      <c r="A29" s="20"/>
      <c r="B29" s="372" t="s">
        <v>238</v>
      </c>
      <c r="C29" s="372"/>
      <c r="D29" s="372"/>
      <c r="E29" s="372"/>
      <c r="F29" s="372"/>
      <c r="G29" s="372"/>
      <c r="H29" s="372"/>
      <c r="I29" s="38">
        <f t="shared" si="0"/>
        <v>0</v>
      </c>
      <c r="J29" s="20"/>
      <c r="K29" s="20"/>
      <c r="L29" s="20"/>
      <c r="M29" s="20"/>
      <c r="O29" s="119"/>
    </row>
    <row r="30" spans="1:15" ht="16.5" customHeight="1">
      <c r="A30" s="120"/>
      <c r="B30" s="378" t="s">
        <v>91</v>
      </c>
      <c r="C30" s="378"/>
      <c r="D30" s="378"/>
      <c r="E30" s="378"/>
      <c r="F30" s="378"/>
      <c r="G30" s="378"/>
      <c r="H30" s="378"/>
      <c r="I30" s="46">
        <f>SUM(I15:I29)</f>
        <v>1499048</v>
      </c>
      <c r="J30" s="46">
        <f>SUM(J15:J29)</f>
        <v>344029</v>
      </c>
      <c r="K30" s="46">
        <f>SUM(K15:K29)</f>
        <v>381541</v>
      </c>
      <c r="L30" s="46">
        <f>SUM(L15:L29)</f>
        <v>326263</v>
      </c>
      <c r="M30" s="46">
        <f>SUM(M15:M29)</f>
        <v>447215</v>
      </c>
      <c r="N30" s="5"/>
      <c r="O30" s="119"/>
    </row>
    <row r="31" spans="1:15" ht="16.5" customHeight="1">
      <c r="A31" s="121"/>
      <c r="B31" s="122"/>
      <c r="C31" s="122"/>
      <c r="D31" s="122"/>
      <c r="E31" s="122"/>
      <c r="F31" s="122"/>
      <c r="G31" s="122"/>
      <c r="H31" s="122"/>
      <c r="I31" s="56"/>
      <c r="J31" s="56"/>
      <c r="K31" s="56"/>
      <c r="L31" s="56"/>
      <c r="M31" s="56"/>
      <c r="N31" s="5"/>
      <c r="O31" s="119"/>
    </row>
    <row r="32" spans="1:15" ht="16.5" customHeight="1">
      <c r="A32" s="121"/>
      <c r="B32" s="122"/>
      <c r="C32" s="122"/>
      <c r="D32" s="122"/>
      <c r="E32" s="122"/>
      <c r="F32" s="122"/>
      <c r="G32" s="122"/>
      <c r="H32" s="122"/>
      <c r="I32" s="56"/>
      <c r="J32" s="56"/>
      <c r="K32" s="56"/>
      <c r="L32" s="56"/>
      <c r="M32" s="56"/>
      <c r="N32" s="5"/>
      <c r="O32" s="119"/>
    </row>
    <row r="33" spans="1:15" ht="16.5" customHeight="1">
      <c r="A33" s="121"/>
      <c r="B33" s="122"/>
      <c r="C33" s="122"/>
      <c r="D33" s="122"/>
      <c r="E33" s="122"/>
      <c r="F33" s="122"/>
      <c r="G33" s="122"/>
      <c r="H33" s="122"/>
      <c r="I33" s="56"/>
      <c r="J33" s="56"/>
      <c r="K33" s="56"/>
      <c r="L33" s="56"/>
      <c r="M33" s="56"/>
      <c r="N33" s="5"/>
      <c r="O33" s="119"/>
    </row>
    <row r="34" spans="1:15" ht="12.75">
      <c r="A34" s="121"/>
      <c r="B34" s="122"/>
      <c r="C34" s="122"/>
      <c r="D34" s="122"/>
      <c r="E34" s="122"/>
      <c r="F34" s="122"/>
      <c r="G34" s="122"/>
      <c r="H34" s="122"/>
      <c r="I34" s="56"/>
      <c r="J34" s="56"/>
      <c r="K34" s="56"/>
      <c r="L34" s="56"/>
      <c r="M34" s="56"/>
      <c r="N34" s="5"/>
      <c r="O34" s="119"/>
    </row>
    <row r="35" spans="1:15" ht="17.25">
      <c r="A35" s="123">
        <v>13</v>
      </c>
      <c r="B35" s="122"/>
      <c r="C35" s="122"/>
      <c r="D35" s="122"/>
      <c r="E35" s="122"/>
      <c r="F35" s="122"/>
      <c r="G35" s="122"/>
      <c r="H35" s="122"/>
      <c r="I35" s="56"/>
      <c r="J35" s="56"/>
      <c r="K35" s="56"/>
      <c r="L35" s="56"/>
      <c r="M35" s="56"/>
      <c r="N35" s="5"/>
      <c r="O35" s="119"/>
    </row>
    <row r="36" spans="1:15" ht="34.5" customHeight="1">
      <c r="A36" s="379" t="s">
        <v>193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51"/>
      <c r="O36" s="13"/>
    </row>
    <row r="37" spans="1:15" ht="26.25" customHeight="1">
      <c r="A37" s="46" t="s">
        <v>1</v>
      </c>
      <c r="B37" s="360" t="s">
        <v>82</v>
      </c>
      <c r="C37" s="360"/>
      <c r="D37" s="360"/>
      <c r="E37" s="360"/>
      <c r="F37" s="360"/>
      <c r="G37" s="360"/>
      <c r="H37" s="360"/>
      <c r="I37" s="50" t="s">
        <v>331</v>
      </c>
      <c r="J37" s="46" t="s">
        <v>92</v>
      </c>
      <c r="K37" s="46" t="s">
        <v>93</v>
      </c>
      <c r="L37" s="46" t="s">
        <v>94</v>
      </c>
      <c r="M37" s="46" t="s">
        <v>95</v>
      </c>
      <c r="O37" s="13"/>
    </row>
    <row r="38" spans="1:15" ht="12.75">
      <c r="A38" s="380">
        <v>1</v>
      </c>
      <c r="B38" s="381" t="s">
        <v>246</v>
      </c>
      <c r="C38" s="381"/>
      <c r="D38" s="381"/>
      <c r="E38" s="381"/>
      <c r="F38" s="381"/>
      <c r="G38" s="381"/>
      <c r="H38" s="381"/>
      <c r="I38" s="380">
        <f>+J38+K38+L38+M38</f>
        <v>5200</v>
      </c>
      <c r="J38" s="380">
        <v>1300</v>
      </c>
      <c r="K38" s="380">
        <v>1300</v>
      </c>
      <c r="L38" s="380">
        <v>1300</v>
      </c>
      <c r="M38" s="380">
        <v>1300</v>
      </c>
      <c r="N38" s="382"/>
      <c r="O38" s="13"/>
    </row>
    <row r="39" spans="1:15" ht="16.5" customHeight="1">
      <c r="A39" s="380"/>
      <c r="B39" s="381"/>
      <c r="C39" s="381"/>
      <c r="D39" s="381"/>
      <c r="E39" s="381"/>
      <c r="F39" s="381"/>
      <c r="G39" s="381"/>
      <c r="H39" s="381"/>
      <c r="I39" s="380"/>
      <c r="J39" s="380"/>
      <c r="K39" s="380"/>
      <c r="L39" s="380"/>
      <c r="M39" s="380"/>
      <c r="N39" s="382"/>
      <c r="O39" s="13"/>
    </row>
    <row r="40" spans="1:15" ht="24.75" customHeight="1">
      <c r="A40" s="20">
        <v>2</v>
      </c>
      <c r="B40" s="381" t="s">
        <v>274</v>
      </c>
      <c r="C40" s="381"/>
      <c r="D40" s="381"/>
      <c r="E40" s="381"/>
      <c r="F40" s="381"/>
      <c r="G40" s="381"/>
      <c r="H40" s="381"/>
      <c r="I40" s="20">
        <f>+J40+K40+L40+M40</f>
        <v>20000</v>
      </c>
      <c r="J40" s="20">
        <v>5000</v>
      </c>
      <c r="K40" s="20">
        <v>5000</v>
      </c>
      <c r="L40" s="20">
        <v>5000</v>
      </c>
      <c r="M40" s="20">
        <v>5000</v>
      </c>
      <c r="N40" s="7"/>
      <c r="O40" s="13"/>
    </row>
    <row r="41" spans="1:15" ht="35.25" customHeight="1">
      <c r="A41" s="20">
        <v>3</v>
      </c>
      <c r="B41" s="381" t="s">
        <v>199</v>
      </c>
      <c r="C41" s="381"/>
      <c r="D41" s="381"/>
      <c r="E41" s="381"/>
      <c r="F41" s="381"/>
      <c r="G41" s="381"/>
      <c r="H41" s="381"/>
      <c r="I41" s="20">
        <f aca="true" t="shared" si="1" ref="I41:I52">+J41+K41+L41+M41</f>
        <v>0</v>
      </c>
      <c r="J41" s="20"/>
      <c r="K41" s="20"/>
      <c r="L41" s="20"/>
      <c r="M41" s="20"/>
      <c r="N41" s="7"/>
      <c r="O41" s="13"/>
    </row>
    <row r="42" spans="1:15" ht="27" customHeight="1">
      <c r="A42" s="20">
        <v>4</v>
      </c>
      <c r="B42" s="383" t="s">
        <v>201</v>
      </c>
      <c r="C42" s="384"/>
      <c r="D42" s="384"/>
      <c r="E42" s="384"/>
      <c r="F42" s="384"/>
      <c r="G42" s="384"/>
      <c r="H42" s="385"/>
      <c r="I42" s="20">
        <f t="shared" si="1"/>
        <v>8000</v>
      </c>
      <c r="J42" s="20">
        <v>2000</v>
      </c>
      <c r="K42" s="20">
        <v>2000</v>
      </c>
      <c r="L42" s="20">
        <v>2000</v>
      </c>
      <c r="M42" s="20">
        <v>2000</v>
      </c>
      <c r="N42" s="7"/>
      <c r="O42" s="13"/>
    </row>
    <row r="43" spans="1:18" ht="16.5" customHeight="1">
      <c r="A43" s="20">
        <v>5</v>
      </c>
      <c r="B43" s="381" t="s">
        <v>213</v>
      </c>
      <c r="C43" s="381"/>
      <c r="D43" s="381"/>
      <c r="E43" s="381"/>
      <c r="F43" s="381"/>
      <c r="G43" s="381"/>
      <c r="H43" s="381"/>
      <c r="I43" s="20">
        <f t="shared" si="1"/>
        <v>0</v>
      </c>
      <c r="J43" s="20">
        <v>0</v>
      </c>
      <c r="K43" s="20">
        <v>0</v>
      </c>
      <c r="L43" s="20">
        <v>0</v>
      </c>
      <c r="M43" s="20">
        <v>0</v>
      </c>
      <c r="N43" s="7"/>
      <c r="O43" s="13"/>
      <c r="P43" s="13"/>
      <c r="Q43" s="13"/>
      <c r="R43" s="13"/>
    </row>
    <row r="44" spans="1:18" ht="15.75" customHeight="1">
      <c r="A44" s="20">
        <v>6</v>
      </c>
      <c r="B44" s="381" t="s">
        <v>305</v>
      </c>
      <c r="C44" s="381"/>
      <c r="D44" s="381"/>
      <c r="E44" s="381"/>
      <c r="F44" s="381"/>
      <c r="G44" s="381"/>
      <c r="H44" s="381"/>
      <c r="I44" s="20">
        <f t="shared" si="1"/>
        <v>0</v>
      </c>
      <c r="J44" s="20"/>
      <c r="K44" s="20"/>
      <c r="L44" s="20"/>
      <c r="M44" s="20"/>
      <c r="N44" s="7"/>
      <c r="O44" s="13"/>
      <c r="P44" s="13"/>
      <c r="Q44" s="13"/>
      <c r="R44" s="13"/>
    </row>
    <row r="45" spans="1:19" ht="15" customHeight="1">
      <c r="A45" s="20">
        <v>7</v>
      </c>
      <c r="B45" s="381" t="s">
        <v>247</v>
      </c>
      <c r="C45" s="381"/>
      <c r="D45" s="381"/>
      <c r="E45" s="381"/>
      <c r="F45" s="381"/>
      <c r="G45" s="381"/>
      <c r="H45" s="381"/>
      <c r="I45" s="20">
        <f t="shared" si="1"/>
        <v>0</v>
      </c>
      <c r="J45" s="20"/>
      <c r="K45" s="20"/>
      <c r="L45" s="20"/>
      <c r="M45" s="20"/>
      <c r="N45" s="7"/>
      <c r="O45" s="7"/>
      <c r="P45" s="7"/>
      <c r="Q45" s="13"/>
      <c r="R45" s="7"/>
      <c r="S45" s="7"/>
    </row>
    <row r="46" spans="1:19" ht="15.75" customHeight="1">
      <c r="A46" s="20">
        <v>8</v>
      </c>
      <c r="B46" s="381" t="s">
        <v>248</v>
      </c>
      <c r="C46" s="381"/>
      <c r="D46" s="381"/>
      <c r="E46" s="381"/>
      <c r="F46" s="381"/>
      <c r="G46" s="381"/>
      <c r="H46" s="381"/>
      <c r="I46" s="20">
        <f t="shared" si="1"/>
        <v>0</v>
      </c>
      <c r="J46" s="20"/>
      <c r="K46" s="20"/>
      <c r="L46" s="20"/>
      <c r="M46" s="20"/>
      <c r="N46" s="7"/>
      <c r="O46" s="7"/>
      <c r="P46" s="7"/>
      <c r="Q46" s="13"/>
      <c r="R46" s="7"/>
      <c r="S46" s="7"/>
    </row>
    <row r="47" spans="1:19" ht="15.75" customHeight="1">
      <c r="A47" s="20">
        <v>9</v>
      </c>
      <c r="B47" s="386" t="s">
        <v>272</v>
      </c>
      <c r="C47" s="387"/>
      <c r="D47" s="387"/>
      <c r="E47" s="387"/>
      <c r="F47" s="387"/>
      <c r="G47" s="387"/>
      <c r="H47" s="388"/>
      <c r="I47" s="20">
        <f t="shared" si="1"/>
        <v>0</v>
      </c>
      <c r="J47" s="20"/>
      <c r="K47" s="20"/>
      <c r="L47" s="20"/>
      <c r="M47" s="20"/>
      <c r="N47" s="7"/>
      <c r="O47" s="7"/>
      <c r="P47" s="7"/>
      <c r="Q47" s="13"/>
      <c r="R47" s="7"/>
      <c r="S47" s="7"/>
    </row>
    <row r="48" spans="1:18" ht="15.75" customHeight="1">
      <c r="A48" s="20">
        <v>10</v>
      </c>
      <c r="B48" s="381" t="s">
        <v>96</v>
      </c>
      <c r="C48" s="381"/>
      <c r="D48" s="381"/>
      <c r="E48" s="381"/>
      <c r="F48" s="381"/>
      <c r="G48" s="381"/>
      <c r="H48" s="381"/>
      <c r="I48" s="20">
        <f t="shared" si="1"/>
        <v>0</v>
      </c>
      <c r="J48" s="20"/>
      <c r="K48" s="20"/>
      <c r="L48" s="20"/>
      <c r="M48" s="20"/>
      <c r="N48" s="7"/>
      <c r="O48" s="13"/>
      <c r="P48" s="13"/>
      <c r="Q48" s="13"/>
      <c r="R48" s="13"/>
    </row>
    <row r="49" spans="1:18" ht="16.5" customHeight="1">
      <c r="A49" s="20">
        <v>11</v>
      </c>
      <c r="B49" s="381" t="s">
        <v>273</v>
      </c>
      <c r="C49" s="381"/>
      <c r="D49" s="381"/>
      <c r="E49" s="381"/>
      <c r="F49" s="381"/>
      <c r="G49" s="381"/>
      <c r="H49" s="381"/>
      <c r="I49" s="20">
        <f t="shared" si="1"/>
        <v>0</v>
      </c>
      <c r="J49" s="20"/>
      <c r="K49" s="20"/>
      <c r="L49" s="20"/>
      <c r="M49" s="20"/>
      <c r="N49" s="7"/>
      <c r="O49" s="13"/>
      <c r="P49" s="13"/>
      <c r="Q49" s="13"/>
      <c r="R49" s="13"/>
    </row>
    <row r="50" spans="1:18" ht="15" customHeight="1">
      <c r="A50" s="20">
        <v>12</v>
      </c>
      <c r="B50" s="381" t="s">
        <v>211</v>
      </c>
      <c r="C50" s="381"/>
      <c r="D50" s="381"/>
      <c r="E50" s="381"/>
      <c r="F50" s="381"/>
      <c r="G50" s="381"/>
      <c r="H50" s="381"/>
      <c r="I50" s="20">
        <f t="shared" si="1"/>
        <v>0</v>
      </c>
      <c r="J50" s="20"/>
      <c r="K50" s="20"/>
      <c r="L50" s="20"/>
      <c r="M50" s="20"/>
      <c r="N50" s="7"/>
      <c r="O50" s="13"/>
      <c r="P50" s="13"/>
      <c r="Q50" s="13"/>
      <c r="R50" s="13"/>
    </row>
    <row r="51" spans="1:18" ht="16.5" customHeight="1">
      <c r="A51" s="20">
        <v>13</v>
      </c>
      <c r="B51" s="381" t="s">
        <v>214</v>
      </c>
      <c r="C51" s="381"/>
      <c r="D51" s="381"/>
      <c r="E51" s="381"/>
      <c r="F51" s="381"/>
      <c r="G51" s="381"/>
      <c r="H51" s="381"/>
      <c r="I51" s="20">
        <f t="shared" si="1"/>
        <v>0</v>
      </c>
      <c r="J51" s="20"/>
      <c r="K51" s="20"/>
      <c r="L51" s="20"/>
      <c r="M51" s="20"/>
      <c r="N51" s="7"/>
      <c r="O51" s="13"/>
      <c r="P51" s="13"/>
      <c r="Q51" s="13"/>
      <c r="R51" s="13"/>
    </row>
    <row r="52" spans="1:18" ht="15.75" customHeight="1">
      <c r="A52" s="20">
        <v>14</v>
      </c>
      <c r="B52" s="381" t="s">
        <v>212</v>
      </c>
      <c r="C52" s="381"/>
      <c r="D52" s="381"/>
      <c r="E52" s="381"/>
      <c r="F52" s="381"/>
      <c r="G52" s="381"/>
      <c r="H52" s="381"/>
      <c r="I52" s="20">
        <f t="shared" si="1"/>
        <v>0</v>
      </c>
      <c r="J52" s="20"/>
      <c r="K52" s="20"/>
      <c r="L52" s="20"/>
      <c r="M52" s="20"/>
      <c r="N52" s="7"/>
      <c r="O52" s="13"/>
      <c r="P52" s="13"/>
      <c r="Q52" s="13"/>
      <c r="R52" s="13"/>
    </row>
    <row r="53" spans="1:18" ht="15.75" customHeight="1">
      <c r="A53" s="46"/>
      <c r="B53" s="395" t="s">
        <v>97</v>
      </c>
      <c r="C53" s="395"/>
      <c r="D53" s="395"/>
      <c r="E53" s="395"/>
      <c r="F53" s="395"/>
      <c r="G53" s="395"/>
      <c r="H53" s="395"/>
      <c r="I53" s="46">
        <f>SUM(I38:I52)</f>
        <v>33200</v>
      </c>
      <c r="J53" s="46">
        <f>SUM(J38:J52)</f>
        <v>8300</v>
      </c>
      <c r="K53" s="46">
        <f>SUM(K38:K52)</f>
        <v>8300</v>
      </c>
      <c r="L53" s="46">
        <f>SUM(L38:L52)</f>
        <v>8300</v>
      </c>
      <c r="M53" s="46">
        <f>SUM(M38:M52)</f>
        <v>8300</v>
      </c>
      <c r="N53" s="15"/>
      <c r="O53" s="13"/>
      <c r="P53" s="13"/>
      <c r="Q53" s="13"/>
      <c r="R53" s="13"/>
    </row>
    <row r="54" spans="1:18" ht="15.75" customHeight="1">
      <c r="A54" s="144"/>
      <c r="B54" s="389" t="s">
        <v>249</v>
      </c>
      <c r="C54" s="390"/>
      <c r="D54" s="390"/>
      <c r="E54" s="390"/>
      <c r="F54" s="390"/>
      <c r="G54" s="390"/>
      <c r="H54" s="391"/>
      <c r="I54" s="46">
        <f>+I53+I30</f>
        <v>1532248</v>
      </c>
      <c r="J54" s="46">
        <f>+J53+J30</f>
        <v>352329</v>
      </c>
      <c r="K54" s="46">
        <f>+K53+K30</f>
        <v>389841</v>
      </c>
      <c r="L54" s="46">
        <f>+L53+L30</f>
        <v>334563</v>
      </c>
      <c r="M54" s="46">
        <f>+M53+M30</f>
        <v>455515</v>
      </c>
      <c r="N54" s="15"/>
      <c r="O54" s="13"/>
      <c r="P54" s="13"/>
      <c r="Q54" s="13"/>
      <c r="R54" s="13"/>
    </row>
    <row r="55" spans="1:18" ht="15.75" customHeight="1">
      <c r="A55" s="56"/>
      <c r="B55" s="54"/>
      <c r="C55" s="54"/>
      <c r="D55" s="54"/>
      <c r="E55" s="54"/>
      <c r="F55" s="54"/>
      <c r="G55" s="54"/>
      <c r="H55" s="54"/>
      <c r="I55" s="56"/>
      <c r="J55" s="56"/>
      <c r="K55" s="56"/>
      <c r="L55" s="345">
        <v>395</v>
      </c>
      <c r="M55" s="345">
        <v>395</v>
      </c>
      <c r="N55" s="15"/>
      <c r="O55" s="13"/>
      <c r="P55" s="13"/>
      <c r="Q55" s="13"/>
      <c r="R55" s="13"/>
    </row>
    <row r="56" spans="1:18" ht="15.75" customHeight="1">
      <c r="A56" s="56"/>
      <c r="B56" s="54"/>
      <c r="C56" s="54"/>
      <c r="D56" s="54"/>
      <c r="E56" s="54"/>
      <c r="F56" s="54"/>
      <c r="G56" s="54"/>
      <c r="H56" s="54"/>
      <c r="I56" s="56"/>
      <c r="J56" s="56"/>
      <c r="K56" s="56"/>
      <c r="L56" s="56"/>
      <c r="M56" s="56"/>
      <c r="N56" s="15"/>
      <c r="O56" s="13"/>
      <c r="P56" s="13"/>
      <c r="Q56" s="13"/>
      <c r="R56" s="13"/>
    </row>
    <row r="57" spans="1:18" ht="15.75" customHeight="1">
      <c r="A57" s="56"/>
      <c r="B57" s="54"/>
      <c r="C57" s="54"/>
      <c r="D57" s="54"/>
      <c r="E57" s="54"/>
      <c r="F57" s="54"/>
      <c r="G57" s="54"/>
      <c r="H57" s="54"/>
      <c r="I57" s="56"/>
      <c r="J57" s="56"/>
      <c r="K57" s="56"/>
      <c r="L57" s="56"/>
      <c r="M57" s="56"/>
      <c r="N57" s="15"/>
      <c r="O57" s="13"/>
      <c r="P57" s="13"/>
      <c r="Q57" s="13"/>
      <c r="R57" s="13"/>
    </row>
    <row r="58" spans="1:18" ht="15.75" customHeight="1">
      <c r="A58" s="56"/>
      <c r="B58" s="54"/>
      <c r="C58" s="54"/>
      <c r="D58" s="54"/>
      <c r="E58" s="54"/>
      <c r="F58" s="54"/>
      <c r="G58" s="54"/>
      <c r="H58" s="54"/>
      <c r="I58" s="56"/>
      <c r="J58" s="56"/>
      <c r="K58" s="56"/>
      <c r="L58" s="56"/>
      <c r="M58" s="56"/>
      <c r="N58" s="15"/>
      <c r="O58" s="13"/>
      <c r="P58" s="13"/>
      <c r="Q58" s="13"/>
      <c r="R58" s="13"/>
    </row>
    <row r="59" spans="1:18" ht="15.75" customHeight="1">
      <c r="A59" s="56"/>
      <c r="B59" s="54"/>
      <c r="C59" s="54"/>
      <c r="D59" s="54"/>
      <c r="E59" s="54"/>
      <c r="F59" s="54"/>
      <c r="G59" s="54"/>
      <c r="H59" s="54"/>
      <c r="I59" s="56"/>
      <c r="J59" s="56"/>
      <c r="K59" s="56"/>
      <c r="L59" s="56"/>
      <c r="M59" s="56"/>
      <c r="N59" s="15"/>
      <c r="O59" s="13"/>
      <c r="P59" s="13"/>
      <c r="Q59" s="13"/>
      <c r="R59" s="13"/>
    </row>
    <row r="60" spans="1:18" ht="15.75" customHeight="1">
      <c r="A60" s="56"/>
      <c r="B60" s="54"/>
      <c r="C60" s="54"/>
      <c r="D60" s="54"/>
      <c r="E60" s="54"/>
      <c r="F60" s="54"/>
      <c r="G60" s="54"/>
      <c r="H60" s="54"/>
      <c r="I60" s="56"/>
      <c r="J60" s="56"/>
      <c r="K60" s="56"/>
      <c r="L60" s="56"/>
      <c r="M60" s="56"/>
      <c r="N60" s="15"/>
      <c r="O60" s="13"/>
      <c r="P60" s="13"/>
      <c r="Q60" s="13"/>
      <c r="R60" s="13"/>
    </row>
    <row r="61" spans="1:18" ht="15.75" customHeight="1">
      <c r="A61" s="56"/>
      <c r="B61" s="54"/>
      <c r="C61" s="54"/>
      <c r="D61" s="54"/>
      <c r="E61" s="54"/>
      <c r="F61" s="54"/>
      <c r="G61" s="54"/>
      <c r="H61" s="54"/>
      <c r="I61" s="56"/>
      <c r="J61" s="56"/>
      <c r="K61" s="56"/>
      <c r="L61" s="56"/>
      <c r="M61" s="56"/>
      <c r="N61" s="15"/>
      <c r="O61" s="13"/>
      <c r="P61" s="13"/>
      <c r="Q61" s="13"/>
      <c r="R61" s="13"/>
    </row>
    <row r="62" spans="1:18" ht="15.75" customHeight="1">
      <c r="A62" s="56"/>
      <c r="B62" s="54"/>
      <c r="C62" s="54"/>
      <c r="D62" s="54"/>
      <c r="E62" s="54"/>
      <c r="F62" s="54"/>
      <c r="G62" s="54"/>
      <c r="H62" s="54"/>
      <c r="I62" s="56"/>
      <c r="J62" s="56"/>
      <c r="K62" s="56"/>
      <c r="L62" s="56"/>
      <c r="M62" s="56"/>
      <c r="N62" s="15"/>
      <c r="O62" s="13"/>
      <c r="P62" s="13"/>
      <c r="Q62" s="13"/>
      <c r="R62" s="13"/>
    </row>
    <row r="63" spans="1:18" ht="15.75" customHeight="1">
      <c r="A63" s="56"/>
      <c r="B63" s="54"/>
      <c r="C63" s="54"/>
      <c r="D63" s="54"/>
      <c r="E63" s="54"/>
      <c r="F63" s="54"/>
      <c r="G63" s="54"/>
      <c r="H63" s="54"/>
      <c r="I63" s="56"/>
      <c r="J63" s="56"/>
      <c r="K63" s="56"/>
      <c r="L63" s="56"/>
      <c r="M63" s="56"/>
      <c r="N63" s="15"/>
      <c r="O63" s="13"/>
      <c r="P63" s="13"/>
      <c r="Q63" s="13"/>
      <c r="R63" s="13"/>
    </row>
    <row r="64" spans="1:18" ht="18.75" customHeight="1">
      <c r="A64" s="123">
        <v>14</v>
      </c>
      <c r="B64" s="54"/>
      <c r="C64" s="54"/>
      <c r="D64" s="54"/>
      <c r="E64" s="54"/>
      <c r="F64" s="54"/>
      <c r="G64" s="54"/>
      <c r="H64" s="54"/>
      <c r="I64" s="56"/>
      <c r="J64" s="56"/>
      <c r="K64" s="56"/>
      <c r="L64" s="56"/>
      <c r="M64" s="56"/>
      <c r="N64" s="15"/>
      <c r="O64" s="13"/>
      <c r="P64" s="13"/>
      <c r="Q64" s="13"/>
      <c r="R64" s="13"/>
    </row>
    <row r="65" spans="1:18" ht="31.5" customHeight="1">
      <c r="A65" s="396" t="s">
        <v>98</v>
      </c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O65" s="13"/>
      <c r="P65" s="13"/>
      <c r="Q65" s="13"/>
      <c r="R65" s="13"/>
    </row>
    <row r="66" spans="1:18" ht="30.75" customHeight="1">
      <c r="A66" s="46" t="s">
        <v>1</v>
      </c>
      <c r="B66" s="360" t="s">
        <v>82</v>
      </c>
      <c r="C66" s="360"/>
      <c r="D66" s="360"/>
      <c r="E66" s="360"/>
      <c r="F66" s="360"/>
      <c r="G66" s="360"/>
      <c r="H66" s="360"/>
      <c r="I66" s="50" t="s">
        <v>331</v>
      </c>
      <c r="J66" s="46" t="s">
        <v>92</v>
      </c>
      <c r="K66" s="46" t="s">
        <v>93</v>
      </c>
      <c r="L66" s="46" t="s">
        <v>94</v>
      </c>
      <c r="M66" s="46" t="s">
        <v>95</v>
      </c>
      <c r="O66" s="401"/>
      <c r="P66" s="401"/>
      <c r="Q66" s="237"/>
      <c r="R66" s="13"/>
    </row>
    <row r="67" spans="1:19" s="137" customFormat="1" ht="15.75" customHeight="1">
      <c r="A67" s="138">
        <v>1</v>
      </c>
      <c r="B67" s="392" t="s">
        <v>245</v>
      </c>
      <c r="C67" s="393"/>
      <c r="D67" s="393"/>
      <c r="E67" s="393"/>
      <c r="F67" s="393"/>
      <c r="G67" s="393"/>
      <c r="H67" s="394"/>
      <c r="I67" s="138">
        <f>+I68+I69+I70</f>
        <v>413854</v>
      </c>
      <c r="J67" s="138">
        <f>J68+J69+J70</f>
        <v>103463</v>
      </c>
      <c r="K67" s="138">
        <f>K68+K69+K70</f>
        <v>103464</v>
      </c>
      <c r="L67" s="138">
        <f>L68+L69+L70</f>
        <v>103463</v>
      </c>
      <c r="M67" s="138">
        <f>M68+M69+M70</f>
        <v>103464</v>
      </c>
      <c r="N67" s="135"/>
      <c r="O67" s="276"/>
      <c r="P67" s="238"/>
      <c r="Q67" s="238"/>
      <c r="R67" s="135"/>
      <c r="S67" s="136"/>
    </row>
    <row r="68" spans="1:19" ht="16.5" customHeight="1">
      <c r="A68" s="20"/>
      <c r="B68" s="381" t="s">
        <v>208</v>
      </c>
      <c r="C68" s="381"/>
      <c r="D68" s="381"/>
      <c r="E68" s="381"/>
      <c r="F68" s="381"/>
      <c r="G68" s="381"/>
      <c r="H68" s="381"/>
      <c r="I68" s="38">
        <f>+J68+K68+L68+M68</f>
        <v>267646</v>
      </c>
      <c r="J68" s="277">
        <v>66911</v>
      </c>
      <c r="K68" s="277">
        <v>66912</v>
      </c>
      <c r="L68" s="277">
        <v>66911</v>
      </c>
      <c r="M68" s="277">
        <v>66912</v>
      </c>
      <c r="N68" s="7"/>
      <c r="O68" s="239"/>
      <c r="P68" s="239"/>
      <c r="Q68" s="239"/>
      <c r="R68" s="7"/>
      <c r="S68" s="13"/>
    </row>
    <row r="69" spans="1:19" ht="14.25" customHeight="1">
      <c r="A69" s="20"/>
      <c r="B69" s="381" t="s">
        <v>99</v>
      </c>
      <c r="C69" s="381"/>
      <c r="D69" s="381"/>
      <c r="E69" s="381"/>
      <c r="F69" s="381"/>
      <c r="G69" s="381"/>
      <c r="H69" s="381"/>
      <c r="I69" s="38">
        <f>+J69+K69+L69+M69</f>
        <v>146008</v>
      </c>
      <c r="J69" s="277">
        <v>36502</v>
      </c>
      <c r="K69" s="277">
        <v>36502</v>
      </c>
      <c r="L69" s="277">
        <v>36502</v>
      </c>
      <c r="M69" s="277">
        <v>36502</v>
      </c>
      <c r="N69" s="7"/>
      <c r="O69" s="239"/>
      <c r="P69" s="239"/>
      <c r="Q69" s="239"/>
      <c r="R69" s="7"/>
      <c r="S69" s="13"/>
    </row>
    <row r="70" spans="1:19" ht="15" customHeight="1">
      <c r="A70" s="20"/>
      <c r="B70" s="381" t="s">
        <v>276</v>
      </c>
      <c r="C70" s="381"/>
      <c r="D70" s="381"/>
      <c r="E70" s="381"/>
      <c r="F70" s="381"/>
      <c r="G70" s="381"/>
      <c r="H70" s="381"/>
      <c r="I70" s="38">
        <f>+J70+K70+L70+M70</f>
        <v>200</v>
      </c>
      <c r="J70" s="277">
        <v>50</v>
      </c>
      <c r="K70" s="277">
        <v>50</v>
      </c>
      <c r="L70" s="277">
        <v>50</v>
      </c>
      <c r="M70" s="277">
        <v>50</v>
      </c>
      <c r="N70" s="7"/>
      <c r="O70" s="239"/>
      <c r="P70" s="239"/>
      <c r="Q70" s="239"/>
      <c r="R70" s="7"/>
      <c r="S70" s="13"/>
    </row>
    <row r="71" spans="1:19" s="137" customFormat="1" ht="17.25" customHeight="1" hidden="1">
      <c r="A71" s="138">
        <v>2</v>
      </c>
      <c r="B71" s="392" t="s">
        <v>303</v>
      </c>
      <c r="C71" s="393"/>
      <c r="D71" s="393"/>
      <c r="E71" s="393"/>
      <c r="F71" s="393"/>
      <c r="G71" s="393"/>
      <c r="H71" s="394"/>
      <c r="I71" s="138">
        <f>J71+K71+L71+M71</f>
        <v>0</v>
      </c>
      <c r="J71" s="138"/>
      <c r="K71" s="138"/>
      <c r="L71" s="138"/>
      <c r="M71" s="138"/>
      <c r="N71" s="139"/>
      <c r="O71" s="240"/>
      <c r="P71" s="241"/>
      <c r="Q71" s="240"/>
      <c r="R71" s="139"/>
      <c r="S71" s="136"/>
    </row>
    <row r="72" spans="1:19" ht="15.75" customHeight="1" hidden="1">
      <c r="A72" s="20"/>
      <c r="B72" s="381" t="s">
        <v>186</v>
      </c>
      <c r="C72" s="381"/>
      <c r="D72" s="381"/>
      <c r="E72" s="381"/>
      <c r="F72" s="381"/>
      <c r="G72" s="381"/>
      <c r="H72" s="381"/>
      <c r="I72" s="38">
        <f>+J72+K72+L72+M72</f>
        <v>0</v>
      </c>
      <c r="J72" s="20"/>
      <c r="K72" s="20"/>
      <c r="L72" s="20"/>
      <c r="M72" s="20"/>
      <c r="N72" s="7"/>
      <c r="O72" s="239"/>
      <c r="P72" s="242"/>
      <c r="Q72" s="239"/>
      <c r="R72" s="7"/>
      <c r="S72" s="13"/>
    </row>
    <row r="73" spans="1:19" ht="15" customHeight="1" hidden="1">
      <c r="A73" s="20"/>
      <c r="B73" s="381" t="s">
        <v>207</v>
      </c>
      <c r="C73" s="381"/>
      <c r="D73" s="381"/>
      <c r="E73" s="381"/>
      <c r="F73" s="381"/>
      <c r="G73" s="381"/>
      <c r="H73" s="381"/>
      <c r="I73" s="38">
        <f>+J73+K73+L73+M73</f>
        <v>0</v>
      </c>
      <c r="J73" s="20"/>
      <c r="K73" s="20"/>
      <c r="L73" s="20"/>
      <c r="M73" s="20"/>
      <c r="N73" s="7"/>
      <c r="O73" s="239"/>
      <c r="P73" s="243"/>
      <c r="Q73" s="239"/>
      <c r="R73" s="7"/>
      <c r="S73" s="13"/>
    </row>
    <row r="74" spans="1:19" ht="1.5" customHeight="1" hidden="1">
      <c r="A74" s="20"/>
      <c r="B74" s="381" t="s">
        <v>206</v>
      </c>
      <c r="C74" s="381"/>
      <c r="D74" s="381"/>
      <c r="E74" s="381"/>
      <c r="F74" s="381"/>
      <c r="G74" s="381"/>
      <c r="H74" s="381"/>
      <c r="I74" s="38">
        <f>+J74+K74+L74+M74</f>
        <v>0</v>
      </c>
      <c r="J74" s="20"/>
      <c r="K74" s="20"/>
      <c r="L74" s="20"/>
      <c r="M74" s="20"/>
      <c r="N74" s="7"/>
      <c r="O74" s="241"/>
      <c r="P74" s="243"/>
      <c r="Q74" s="239"/>
      <c r="R74" s="7"/>
      <c r="S74" s="13"/>
    </row>
    <row r="75" spans="1:17" s="137" customFormat="1" ht="18" customHeight="1">
      <c r="A75" s="134">
        <v>3</v>
      </c>
      <c r="B75" s="366" t="s">
        <v>241</v>
      </c>
      <c r="C75" s="366"/>
      <c r="D75" s="366"/>
      <c r="E75" s="366"/>
      <c r="F75" s="366"/>
      <c r="G75" s="366"/>
      <c r="H75" s="366"/>
      <c r="I75" s="138">
        <f>J75+K75+L75+M75</f>
        <v>46800</v>
      </c>
      <c r="J75" s="138">
        <f>+J76+J77+J78+J79+J80</f>
        <v>11700</v>
      </c>
      <c r="K75" s="138">
        <f>+K76+K77+K78+K79+K80</f>
        <v>11700</v>
      </c>
      <c r="L75" s="138">
        <f>+L76+L77+L78+L79+L80</f>
        <v>11700</v>
      </c>
      <c r="M75" s="138">
        <f>+M76+M77+M78+M79+M80</f>
        <v>11700</v>
      </c>
      <c r="O75" s="244"/>
      <c r="P75" s="245"/>
      <c r="Q75" s="239"/>
    </row>
    <row r="76" spans="1:19" ht="16.5" customHeight="1">
      <c r="A76" s="124"/>
      <c r="B76" s="372" t="s">
        <v>240</v>
      </c>
      <c r="C76" s="372"/>
      <c r="D76" s="372"/>
      <c r="E76" s="372"/>
      <c r="F76" s="372"/>
      <c r="G76" s="372"/>
      <c r="H76" s="372"/>
      <c r="I76" s="38">
        <f aca="true" t="shared" si="2" ref="I76:I81">+J76+K76+L76+M76</f>
        <v>5000</v>
      </c>
      <c r="J76" s="157">
        <v>1250</v>
      </c>
      <c r="K76" s="157">
        <v>1250</v>
      </c>
      <c r="L76" s="157">
        <v>1250</v>
      </c>
      <c r="M76" s="157">
        <v>1250</v>
      </c>
      <c r="N76" s="125"/>
      <c r="O76" s="239"/>
      <c r="P76" s="246"/>
      <c r="Q76" s="239"/>
      <c r="R76" s="125"/>
      <c r="S76" s="13"/>
    </row>
    <row r="77" spans="1:19" ht="16.5" customHeight="1">
      <c r="A77" s="124"/>
      <c r="B77" s="372" t="s">
        <v>243</v>
      </c>
      <c r="C77" s="372"/>
      <c r="D77" s="372"/>
      <c r="E77" s="372"/>
      <c r="F77" s="372"/>
      <c r="G77" s="372"/>
      <c r="H77" s="372"/>
      <c r="I77" s="38">
        <f t="shared" si="2"/>
        <v>5000</v>
      </c>
      <c r="J77" s="157">
        <v>1250</v>
      </c>
      <c r="K77" s="157">
        <v>1250</v>
      </c>
      <c r="L77" s="157">
        <v>1250</v>
      </c>
      <c r="M77" s="157">
        <v>1250</v>
      </c>
      <c r="N77" s="125"/>
      <c r="O77" s="239"/>
      <c r="P77" s="246"/>
      <c r="Q77" s="239"/>
      <c r="R77" s="125"/>
      <c r="S77" s="13"/>
    </row>
    <row r="78" spans="1:19" ht="16.5" customHeight="1">
      <c r="A78" s="124"/>
      <c r="B78" s="372" t="s">
        <v>242</v>
      </c>
      <c r="C78" s="372"/>
      <c r="D78" s="372"/>
      <c r="E78" s="372"/>
      <c r="F78" s="372"/>
      <c r="G78" s="372"/>
      <c r="H78" s="372"/>
      <c r="I78" s="38">
        <f t="shared" si="2"/>
        <v>6800</v>
      </c>
      <c r="J78" s="157">
        <v>1700</v>
      </c>
      <c r="K78" s="157">
        <v>1700</v>
      </c>
      <c r="L78" s="157">
        <v>1700</v>
      </c>
      <c r="M78" s="157">
        <v>1700</v>
      </c>
      <c r="N78" s="125"/>
      <c r="O78" s="241"/>
      <c r="P78" s="246"/>
      <c r="Q78" s="239"/>
      <c r="R78" s="125"/>
      <c r="S78" s="13"/>
    </row>
    <row r="79" spans="1:19" ht="16.5" customHeight="1">
      <c r="A79" s="124"/>
      <c r="B79" s="372" t="s">
        <v>309</v>
      </c>
      <c r="C79" s="372"/>
      <c r="D79" s="372"/>
      <c r="E79" s="372"/>
      <c r="F79" s="372"/>
      <c r="G79" s="372"/>
      <c r="H79" s="372"/>
      <c r="I79" s="38">
        <f t="shared" si="2"/>
        <v>30000</v>
      </c>
      <c r="J79" s="157">
        <v>7500</v>
      </c>
      <c r="K79" s="157">
        <v>7500</v>
      </c>
      <c r="L79" s="157">
        <v>7500</v>
      </c>
      <c r="M79" s="157">
        <v>7500</v>
      </c>
      <c r="N79" s="125"/>
      <c r="O79" s="239"/>
      <c r="P79" s="246"/>
      <c r="Q79" s="239"/>
      <c r="R79" s="125"/>
      <c r="S79" s="13"/>
    </row>
    <row r="80" spans="1:19" ht="16.5" customHeight="1">
      <c r="A80" s="124"/>
      <c r="B80" s="366" t="s">
        <v>244</v>
      </c>
      <c r="C80" s="366"/>
      <c r="D80" s="366"/>
      <c r="E80" s="366"/>
      <c r="F80" s="366"/>
      <c r="G80" s="366"/>
      <c r="H80" s="366"/>
      <c r="I80" s="38">
        <f t="shared" si="2"/>
        <v>0</v>
      </c>
      <c r="J80" s="157">
        <v>0</v>
      </c>
      <c r="K80" s="157">
        <v>0</v>
      </c>
      <c r="L80" s="157">
        <v>0</v>
      </c>
      <c r="M80" s="38">
        <v>0</v>
      </c>
      <c r="N80" s="125"/>
      <c r="O80" s="239"/>
      <c r="P80" s="246"/>
      <c r="Q80" s="239"/>
      <c r="R80" s="125"/>
      <c r="S80" s="13"/>
    </row>
    <row r="81" spans="1:17" s="137" customFormat="1" ht="15.75" customHeight="1">
      <c r="A81" s="134">
        <v>4</v>
      </c>
      <c r="B81" s="398" t="s">
        <v>310</v>
      </c>
      <c r="C81" s="399"/>
      <c r="D81" s="399"/>
      <c r="E81" s="399"/>
      <c r="F81" s="399"/>
      <c r="G81" s="399"/>
      <c r="H81" s="400"/>
      <c r="I81" s="138">
        <f t="shared" si="2"/>
        <v>2000</v>
      </c>
      <c r="J81" s="138">
        <v>500</v>
      </c>
      <c r="K81" s="138">
        <v>500</v>
      </c>
      <c r="L81" s="138">
        <v>500</v>
      </c>
      <c r="M81" s="138">
        <v>500</v>
      </c>
      <c r="O81" s="239"/>
      <c r="P81" s="244"/>
      <c r="Q81" s="239"/>
    </row>
    <row r="82" spans="1:19" s="137" customFormat="1" ht="15.75" customHeight="1">
      <c r="A82" s="134"/>
      <c r="B82" s="381" t="s">
        <v>100</v>
      </c>
      <c r="C82" s="381"/>
      <c r="D82" s="381"/>
      <c r="E82" s="381"/>
      <c r="F82" s="381"/>
      <c r="G82" s="381"/>
      <c r="H82" s="381"/>
      <c r="I82" s="277">
        <f>I67+I71+I75+I81</f>
        <v>462654</v>
      </c>
      <c r="J82" s="277">
        <f>J67+J71+J75+J81</f>
        <v>115663</v>
      </c>
      <c r="K82" s="277">
        <f>K67+K71+K75+K81</f>
        <v>115664</v>
      </c>
      <c r="L82" s="277">
        <f>L67+L71+L75+L81</f>
        <v>115663</v>
      </c>
      <c r="M82" s="277">
        <f>M67+M71+M75+M81</f>
        <v>115664</v>
      </c>
      <c r="N82" s="143"/>
      <c r="O82" s="281"/>
      <c r="P82" s="281"/>
      <c r="Q82" s="247"/>
      <c r="R82" s="135"/>
      <c r="S82" s="136"/>
    </row>
    <row r="83" spans="1:19" ht="15.75" customHeight="1">
      <c r="A83" s="20"/>
      <c r="B83" s="381" t="s">
        <v>101</v>
      </c>
      <c r="C83" s="381"/>
      <c r="D83" s="381"/>
      <c r="E83" s="381"/>
      <c r="F83" s="381"/>
      <c r="G83" s="381"/>
      <c r="H83" s="381"/>
      <c r="I83" s="20">
        <f>I30+I53+I82</f>
        <v>1994902</v>
      </c>
      <c r="J83" s="20">
        <f>J30+J53+J82</f>
        <v>467992</v>
      </c>
      <c r="K83" s="20">
        <f>K30+K53+K82</f>
        <v>505505</v>
      </c>
      <c r="L83" s="20">
        <f>L30+L53+L82</f>
        <v>450226</v>
      </c>
      <c r="M83" s="20">
        <f>M30+M53+M82</f>
        <v>571179</v>
      </c>
      <c r="N83" s="53"/>
      <c r="O83" s="248"/>
      <c r="P83" s="7"/>
      <c r="Q83" s="7"/>
      <c r="R83" s="7"/>
      <c r="S83" s="13"/>
    </row>
    <row r="84" spans="1:19" ht="15.75" customHeight="1">
      <c r="A84" s="20"/>
      <c r="B84" s="386" t="s">
        <v>205</v>
      </c>
      <c r="C84" s="387"/>
      <c r="D84" s="387"/>
      <c r="E84" s="387"/>
      <c r="F84" s="387"/>
      <c r="G84" s="387"/>
      <c r="H84" s="388"/>
      <c r="I84" s="38">
        <f>J84+K84+L84+M84</f>
        <v>542840</v>
      </c>
      <c r="J84" s="20">
        <f>+Ауп!D30</f>
        <v>135710</v>
      </c>
      <c r="K84" s="20">
        <f>+Ауп!E30</f>
        <v>135710</v>
      </c>
      <c r="L84" s="20">
        <f>+Ауп!F30</f>
        <v>135710</v>
      </c>
      <c r="M84" s="20">
        <f>+Ауп!G30</f>
        <v>135710</v>
      </c>
      <c r="N84" s="10"/>
      <c r="O84" s="236"/>
      <c r="P84" s="13"/>
      <c r="Q84" s="13"/>
      <c r="R84" s="13"/>
      <c r="S84" s="13"/>
    </row>
    <row r="85" spans="1:19" s="94" customFormat="1" ht="15.75" customHeight="1">
      <c r="A85" s="20"/>
      <c r="B85" s="395" t="s">
        <v>102</v>
      </c>
      <c r="C85" s="395"/>
      <c r="D85" s="395"/>
      <c r="E85" s="395"/>
      <c r="F85" s="395"/>
      <c r="G85" s="395"/>
      <c r="H85" s="395"/>
      <c r="I85" s="280">
        <f>J85+K85+L85+M85</f>
        <v>2537742</v>
      </c>
      <c r="J85" s="46">
        <f>J83+J84</f>
        <v>603702</v>
      </c>
      <c r="K85" s="46">
        <f>K83+K84</f>
        <v>641215</v>
      </c>
      <c r="L85" s="46">
        <f>L83+L84</f>
        <v>585936</v>
      </c>
      <c r="M85" s="46">
        <f>M83+M84</f>
        <v>706889</v>
      </c>
      <c r="N85" s="7"/>
      <c r="O85" s="236"/>
      <c r="P85" s="6"/>
      <c r="Q85" s="6"/>
      <c r="R85" s="6"/>
      <c r="S85" s="6"/>
    </row>
    <row r="86" spans="1:19" ht="16.5" customHeight="1">
      <c r="A86" s="53"/>
      <c r="B86" s="365"/>
      <c r="C86" s="365"/>
      <c r="D86" s="365"/>
      <c r="E86" s="365"/>
      <c r="F86" s="365"/>
      <c r="G86" s="365"/>
      <c r="H86" s="365"/>
      <c r="I86" s="55"/>
      <c r="J86" s="56"/>
      <c r="K86" s="56"/>
      <c r="L86" s="56"/>
      <c r="M86" s="56"/>
      <c r="N86" s="10"/>
      <c r="O86" s="236"/>
      <c r="P86" s="13"/>
      <c r="Q86" s="13"/>
      <c r="R86" s="13"/>
      <c r="S86" s="13"/>
    </row>
    <row r="87" spans="1:19" ht="16.5" customHeight="1">
      <c r="A87" s="53"/>
      <c r="B87" s="54"/>
      <c r="C87" s="54"/>
      <c r="D87" s="54"/>
      <c r="E87" s="54"/>
      <c r="F87" s="54"/>
      <c r="G87" s="54"/>
      <c r="H87" s="54"/>
      <c r="I87" s="55"/>
      <c r="J87" s="56"/>
      <c r="K87" s="56"/>
      <c r="L87" s="56"/>
      <c r="M87" s="56"/>
      <c r="N87" s="10"/>
      <c r="O87" s="235"/>
      <c r="P87" s="13"/>
      <c r="Q87" s="13"/>
      <c r="R87" s="13"/>
      <c r="S87" s="13"/>
    </row>
    <row r="88" spans="1:19" ht="16.5" customHeight="1">
      <c r="A88" s="53"/>
      <c r="B88" s="54"/>
      <c r="C88" s="54"/>
      <c r="D88" s="54"/>
      <c r="E88" s="54"/>
      <c r="F88" s="54"/>
      <c r="G88" s="54"/>
      <c r="H88" s="54"/>
      <c r="I88" s="55"/>
      <c r="J88" s="56"/>
      <c r="K88" s="56"/>
      <c r="L88" s="56"/>
      <c r="M88" s="56"/>
      <c r="N88" s="10"/>
      <c r="O88" s="13"/>
      <c r="P88" s="13"/>
      <c r="Q88" s="13"/>
      <c r="R88" s="13"/>
      <c r="S88" s="13"/>
    </row>
    <row r="89" spans="1:19" ht="16.5" customHeight="1">
      <c r="A89" s="53"/>
      <c r="B89" s="127"/>
      <c r="C89" s="127"/>
      <c r="D89" s="192" t="s">
        <v>280</v>
      </c>
      <c r="E89" s="71"/>
      <c r="F89" s="71"/>
      <c r="G89" s="159"/>
      <c r="H89" s="193"/>
      <c r="I89" s="126"/>
      <c r="J89" s="397" t="s">
        <v>320</v>
      </c>
      <c r="K89" s="397"/>
      <c r="L89" s="397"/>
      <c r="M89" s="126"/>
      <c r="N89" s="10"/>
      <c r="O89" s="13"/>
      <c r="P89" s="13"/>
      <c r="Q89" s="13"/>
      <c r="R89" s="13"/>
      <c r="S89" s="13"/>
    </row>
    <row r="90" spans="1:18" s="130" customFormat="1" ht="15">
      <c r="A90" s="126"/>
      <c r="B90" s="127"/>
      <c r="C90" s="127"/>
      <c r="D90" s="128"/>
      <c r="E90" s="128"/>
      <c r="F90" s="128"/>
      <c r="G90" s="128"/>
      <c r="H90" s="128"/>
      <c r="I90" s="126"/>
      <c r="J90" s="129"/>
      <c r="K90" s="129"/>
      <c r="L90" s="129"/>
      <c r="M90" s="126"/>
      <c r="O90" s="131"/>
      <c r="P90" s="131"/>
      <c r="Q90" s="131"/>
      <c r="R90" s="131"/>
    </row>
    <row r="91" spans="1:18" s="130" customFormat="1" ht="15">
      <c r="A91" s="126"/>
      <c r="B91" s="127"/>
      <c r="C91" s="127"/>
      <c r="D91" s="128"/>
      <c r="E91" s="128"/>
      <c r="F91" s="128"/>
      <c r="G91" s="128"/>
      <c r="H91" s="128"/>
      <c r="I91" s="126"/>
      <c r="J91" s="129"/>
      <c r="K91" s="129"/>
      <c r="L91" s="129"/>
      <c r="M91" s="126"/>
      <c r="O91" s="131"/>
      <c r="P91" s="131"/>
      <c r="Q91" s="131"/>
      <c r="R91" s="131"/>
    </row>
    <row r="92" spans="1:18" s="130" customFormat="1" ht="15">
      <c r="A92" s="126"/>
      <c r="B92" s="127"/>
      <c r="C92" s="127"/>
      <c r="D92" s="128"/>
      <c r="E92" s="128"/>
      <c r="F92" s="128"/>
      <c r="G92" s="128"/>
      <c r="H92" s="128"/>
      <c r="I92" s="126"/>
      <c r="J92" s="129"/>
      <c r="K92" s="129"/>
      <c r="L92" s="129"/>
      <c r="M92" s="126"/>
      <c r="O92" s="131"/>
      <c r="P92" s="131"/>
      <c r="Q92" s="131"/>
      <c r="R92" s="131"/>
    </row>
    <row r="93" spans="1:18" s="130" customFormat="1" ht="15">
      <c r="A93" s="126"/>
      <c r="B93" s="127"/>
      <c r="C93" s="127"/>
      <c r="D93" s="128"/>
      <c r="E93" s="128"/>
      <c r="F93" s="128"/>
      <c r="G93" s="128"/>
      <c r="H93" s="128"/>
      <c r="I93" s="126"/>
      <c r="J93" s="129"/>
      <c r="K93" s="129"/>
      <c r="L93" s="129"/>
      <c r="M93" s="126"/>
      <c r="O93" s="131"/>
      <c r="P93" s="131"/>
      <c r="Q93" s="131"/>
      <c r="R93" s="131"/>
    </row>
    <row r="94" spans="1:18" s="130" customFormat="1" ht="12.75" customHeight="1">
      <c r="A94" s="126"/>
      <c r="B94" s="127"/>
      <c r="C94" s="127"/>
      <c r="D94" s="128"/>
      <c r="E94" s="128"/>
      <c r="F94" s="128"/>
      <c r="G94" s="128"/>
      <c r="H94" s="128"/>
      <c r="I94" s="126"/>
      <c r="J94" s="129"/>
      <c r="K94" s="129"/>
      <c r="L94" s="129"/>
      <c r="M94" s="126"/>
      <c r="O94" s="131"/>
      <c r="P94" s="131"/>
      <c r="Q94" s="131"/>
      <c r="R94" s="131"/>
    </row>
    <row r="95" spans="1:18" s="130" customFormat="1" ht="14.25">
      <c r="A95" s="126"/>
      <c r="B95" s="132"/>
      <c r="C95" s="132"/>
      <c r="D95" s="132"/>
      <c r="E95" s="132"/>
      <c r="F95" s="132"/>
      <c r="G95" s="132"/>
      <c r="H95" s="132"/>
      <c r="I95" s="133"/>
      <c r="J95" s="133"/>
      <c r="K95" s="133"/>
      <c r="L95" s="133"/>
      <c r="M95" s="133"/>
      <c r="O95" s="131"/>
      <c r="P95" s="131"/>
      <c r="Q95" s="131"/>
      <c r="R95" s="131"/>
    </row>
    <row r="96" spans="1:13" ht="17.25">
      <c r="A96" s="123">
        <v>15</v>
      </c>
      <c r="I96" s="133"/>
      <c r="J96" s="133"/>
      <c r="K96" s="133"/>
      <c r="L96" s="133"/>
      <c r="M96" s="133"/>
    </row>
    <row r="97" spans="1:13" ht="12.75">
      <c r="A97" s="133"/>
      <c r="I97" s="133"/>
      <c r="J97" s="133"/>
      <c r="K97" s="133"/>
      <c r="L97" s="133"/>
      <c r="M97" s="133"/>
    </row>
    <row r="98" spans="1:13" ht="12.75">
      <c r="A98" s="133"/>
      <c r="I98" s="133"/>
      <c r="J98" s="133"/>
      <c r="K98" s="133"/>
      <c r="L98" s="133"/>
      <c r="M98" s="133"/>
    </row>
    <row r="99" spans="1:13" ht="12.75">
      <c r="A99" s="133"/>
      <c r="I99" s="133"/>
      <c r="J99" s="133"/>
      <c r="K99" s="133"/>
      <c r="L99" s="133"/>
      <c r="M99" s="133"/>
    </row>
    <row r="100" spans="1:13" ht="12.75">
      <c r="A100" s="133"/>
      <c r="I100" s="133"/>
      <c r="J100" s="133"/>
      <c r="K100" s="133"/>
      <c r="L100" s="133"/>
      <c r="M100" s="133"/>
    </row>
    <row r="101" spans="1:13" ht="12.75">
      <c r="A101" s="133"/>
      <c r="I101" s="133"/>
      <c r="J101" s="133"/>
      <c r="K101" s="133"/>
      <c r="L101" s="133"/>
      <c r="M101" s="133"/>
    </row>
    <row r="102" spans="1:13" ht="12.75">
      <c r="A102" s="133"/>
      <c r="I102" s="133"/>
      <c r="J102" s="133"/>
      <c r="K102" s="133"/>
      <c r="L102" s="133"/>
      <c r="M102" s="133"/>
    </row>
    <row r="103" spans="1:13" ht="12.75">
      <c r="A103" s="133"/>
      <c r="I103" s="133"/>
      <c r="J103" s="133"/>
      <c r="K103" s="133"/>
      <c r="L103" s="133"/>
      <c r="M103" s="133"/>
    </row>
    <row r="104" spans="1:13" ht="12.75">
      <c r="A104" s="133"/>
      <c r="I104" s="133"/>
      <c r="J104" s="133"/>
      <c r="K104" s="133"/>
      <c r="L104" s="133"/>
      <c r="M104" s="133"/>
    </row>
    <row r="105" spans="1:13" ht="12.75">
      <c r="A105" s="133"/>
      <c r="I105" s="133"/>
      <c r="J105" s="133"/>
      <c r="K105" s="133"/>
      <c r="L105" s="133"/>
      <c r="M105" s="133"/>
    </row>
    <row r="106" spans="1:13" ht="12.75">
      <c r="A106" s="133"/>
      <c r="I106" s="133"/>
      <c r="J106" s="133"/>
      <c r="K106" s="133"/>
      <c r="L106" s="133"/>
      <c r="M106" s="133"/>
    </row>
    <row r="107" spans="1:13" ht="12.75">
      <c r="A107" s="133"/>
      <c r="I107" s="133"/>
      <c r="J107" s="133"/>
      <c r="K107" s="133"/>
      <c r="L107" s="133"/>
      <c r="M107" s="133"/>
    </row>
    <row r="108" spans="1:13" ht="12.75">
      <c r="A108" s="133"/>
      <c r="I108" s="133"/>
      <c r="J108" s="133"/>
      <c r="K108" s="133"/>
      <c r="L108" s="133"/>
      <c r="M108" s="133"/>
    </row>
    <row r="109" spans="1:13" ht="12.75">
      <c r="A109" s="133"/>
      <c r="I109" s="133"/>
      <c r="J109" s="133"/>
      <c r="K109" s="133"/>
      <c r="L109" s="133"/>
      <c r="M109" s="133"/>
    </row>
    <row r="110" spans="1:13" ht="12.75">
      <c r="A110" s="133"/>
      <c r="I110" s="133"/>
      <c r="J110" s="133"/>
      <c r="K110" s="133"/>
      <c r="L110" s="133"/>
      <c r="M110" s="133"/>
    </row>
    <row r="111" spans="1:13" ht="12.75">
      <c r="A111" s="133"/>
      <c r="I111" s="133"/>
      <c r="J111" s="133"/>
      <c r="K111" s="133"/>
      <c r="L111" s="133"/>
      <c r="M111" s="133"/>
    </row>
    <row r="112" spans="1:13" ht="12.75">
      <c r="A112" s="133"/>
      <c r="I112" s="133"/>
      <c r="J112" s="133"/>
      <c r="K112" s="133"/>
      <c r="L112" s="133"/>
      <c r="M112" s="133"/>
    </row>
    <row r="113" spans="1:13" ht="12.75">
      <c r="A113" s="133"/>
      <c r="I113" s="133"/>
      <c r="J113" s="133"/>
      <c r="K113" s="133"/>
      <c r="L113" s="133"/>
      <c r="M113" s="133"/>
    </row>
    <row r="114" spans="1:13" ht="12.75">
      <c r="A114" s="133"/>
      <c r="I114" s="133"/>
      <c r="J114" s="133"/>
      <c r="K114" s="133"/>
      <c r="L114" s="133"/>
      <c r="M114" s="133"/>
    </row>
    <row r="115" spans="1:13" ht="12.75">
      <c r="A115" s="133"/>
      <c r="I115" s="133"/>
      <c r="J115" s="133"/>
      <c r="K115" s="133"/>
      <c r="L115" s="133"/>
      <c r="M115" s="133"/>
    </row>
    <row r="116" spans="1:13" ht="12.75">
      <c r="A116" s="133"/>
      <c r="I116" s="133"/>
      <c r="J116" s="133"/>
      <c r="K116" s="133"/>
      <c r="L116" s="133"/>
      <c r="M116" s="133"/>
    </row>
    <row r="117" spans="1:13" ht="12.75">
      <c r="A117" s="133"/>
      <c r="I117" s="133"/>
      <c r="J117" s="133"/>
      <c r="K117" s="133"/>
      <c r="L117" s="133"/>
      <c r="M117" s="133"/>
    </row>
    <row r="118" spans="1:13" ht="12.75">
      <c r="A118" s="133"/>
      <c r="I118" s="133"/>
      <c r="J118" s="133"/>
      <c r="K118" s="133"/>
      <c r="L118" s="133"/>
      <c r="M118" s="133"/>
    </row>
    <row r="119" spans="1:13" ht="12.75">
      <c r="A119" s="133"/>
      <c r="I119" s="133"/>
      <c r="J119" s="133"/>
      <c r="K119" s="133"/>
      <c r="L119" s="133"/>
      <c r="M119" s="133"/>
    </row>
    <row r="120" spans="1:13" ht="12.75">
      <c r="A120" s="133"/>
      <c r="I120" s="133"/>
      <c r="J120" s="133"/>
      <c r="K120" s="133"/>
      <c r="L120" s="133"/>
      <c r="M120" s="133"/>
    </row>
    <row r="121" spans="1:13" ht="12.75">
      <c r="A121" s="133"/>
      <c r="I121" s="133"/>
      <c r="J121" s="133"/>
      <c r="K121" s="133"/>
      <c r="L121" s="133"/>
      <c r="M121" s="133"/>
    </row>
    <row r="122" ht="12.75">
      <c r="A122" s="133"/>
    </row>
  </sheetData>
  <sheetProtection/>
  <mergeCells count="80">
    <mergeCell ref="B77:H77"/>
    <mergeCell ref="O66:P66"/>
    <mergeCell ref="B70:H70"/>
    <mergeCell ref="B75:H75"/>
    <mergeCell ref="B76:H76"/>
    <mergeCell ref="B69:H69"/>
    <mergeCell ref="B73:H73"/>
    <mergeCell ref="B72:H72"/>
    <mergeCell ref="B71:H71"/>
    <mergeCell ref="B52:H52"/>
    <mergeCell ref="J89:L89"/>
    <mergeCell ref="B74:H74"/>
    <mergeCell ref="B82:H82"/>
    <mergeCell ref="B83:H83"/>
    <mergeCell ref="B84:H84"/>
    <mergeCell ref="B81:H81"/>
    <mergeCell ref="B85:H85"/>
    <mergeCell ref="B79:H79"/>
    <mergeCell ref="B78:H78"/>
    <mergeCell ref="B47:H47"/>
    <mergeCell ref="B54:H54"/>
    <mergeCell ref="B67:H67"/>
    <mergeCell ref="B68:H68"/>
    <mergeCell ref="B53:H53"/>
    <mergeCell ref="A65:M65"/>
    <mergeCell ref="B66:H66"/>
    <mergeCell ref="B48:H48"/>
    <mergeCell ref="B49:H49"/>
    <mergeCell ref="B50:H50"/>
    <mergeCell ref="N38:N39"/>
    <mergeCell ref="B40:H40"/>
    <mergeCell ref="B41:H41"/>
    <mergeCell ref="B51:H51"/>
    <mergeCell ref="B43:H43"/>
    <mergeCell ref="B44:H44"/>
    <mergeCell ref="L38:L39"/>
    <mergeCell ref="B42:H42"/>
    <mergeCell ref="B45:H45"/>
    <mergeCell ref="B46:H46"/>
    <mergeCell ref="B30:H30"/>
    <mergeCell ref="A36:M36"/>
    <mergeCell ref="B37:H37"/>
    <mergeCell ref="A38:A39"/>
    <mergeCell ref="B38:H39"/>
    <mergeCell ref="I38:I39"/>
    <mergeCell ref="J38:J39"/>
    <mergeCell ref="K38:K39"/>
    <mergeCell ref="M38:M39"/>
    <mergeCell ref="B29:H29"/>
    <mergeCell ref="B20:H20"/>
    <mergeCell ref="B15:H15"/>
    <mergeCell ref="B16:H16"/>
    <mergeCell ref="B17:H17"/>
    <mergeCell ref="B18:H18"/>
    <mergeCell ref="B19:H19"/>
    <mergeCell ref="B21:H21"/>
    <mergeCell ref="B22:H22"/>
    <mergeCell ref="B24:H24"/>
    <mergeCell ref="B14:H14"/>
    <mergeCell ref="A10:A11"/>
    <mergeCell ref="B10:H11"/>
    <mergeCell ref="B28:H28"/>
    <mergeCell ref="B25:H25"/>
    <mergeCell ref="B26:H26"/>
    <mergeCell ref="B27:H27"/>
    <mergeCell ref="B23:H23"/>
    <mergeCell ref="J1:M1"/>
    <mergeCell ref="J2:M2"/>
    <mergeCell ref="J3:M3"/>
    <mergeCell ref="J4:M4"/>
    <mergeCell ref="B86:H86"/>
    <mergeCell ref="J5:M5"/>
    <mergeCell ref="B12:H12"/>
    <mergeCell ref="B80:H80"/>
    <mergeCell ref="A7:M7"/>
    <mergeCell ref="A8:M8"/>
    <mergeCell ref="L9:M9"/>
    <mergeCell ref="A13:M13"/>
    <mergeCell ref="I10:I11"/>
    <mergeCell ref="J10:M10"/>
  </mergeCells>
  <printOptions/>
  <pageMargins left="0.49" right="0.17" top="0.83" bottom="0.25" header="0.5" footer="0.25"/>
  <pageSetup horizontalDpi="600" verticalDpi="600" orientation="landscape" paperSize="9" scale="97" r:id="rId1"/>
  <rowBreaks count="2" manualBreakCount="2">
    <brk id="35" max="255" man="1"/>
    <brk id="6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S62"/>
  <sheetViews>
    <sheetView view="pageBreakPreview" zoomScale="60" zoomScalePageLayoutView="0" workbookViewId="0" topLeftCell="B1">
      <selection activeCell="B33" sqref="B33"/>
    </sheetView>
  </sheetViews>
  <sheetFormatPr defaultColWidth="9.00390625" defaultRowHeight="12.75"/>
  <cols>
    <col min="1" max="1" width="3.875" style="11" hidden="1" customWidth="1"/>
    <col min="2" max="2" width="5.25390625" style="11" customWidth="1"/>
    <col min="3" max="3" width="53.125" style="11" customWidth="1"/>
    <col min="4" max="4" width="14.75390625" style="11" customWidth="1"/>
    <col min="5" max="5" width="18.125" style="11" customWidth="1"/>
    <col min="6" max="6" width="13.75390625" style="11" customWidth="1"/>
    <col min="7" max="7" width="12.625" style="11" customWidth="1"/>
    <col min="8" max="8" width="13.00390625" style="11" customWidth="1"/>
    <col min="9" max="9" width="13.125" style="11" customWidth="1"/>
    <col min="10" max="10" width="14.875" style="11" bestFit="1" customWidth="1"/>
    <col min="11" max="16384" width="9.125" style="11" customWidth="1"/>
  </cols>
  <sheetData>
    <row r="1" spans="5:9" ht="18">
      <c r="E1" s="402" t="s">
        <v>250</v>
      </c>
      <c r="F1" s="402"/>
      <c r="G1" s="402"/>
      <c r="H1" s="402"/>
      <c r="I1" s="402"/>
    </row>
    <row r="2" spans="5:9" ht="18">
      <c r="E2" s="402" t="s">
        <v>279</v>
      </c>
      <c r="F2" s="402"/>
      <c r="G2" s="402"/>
      <c r="H2" s="402"/>
      <c r="I2" s="402"/>
    </row>
    <row r="3" spans="5:9" ht="18">
      <c r="E3" s="402" t="s">
        <v>318</v>
      </c>
      <c r="F3" s="402"/>
      <c r="G3" s="402"/>
      <c r="H3" s="402"/>
      <c r="I3" s="402"/>
    </row>
    <row r="4" spans="5:9" ht="18">
      <c r="E4" s="402" t="s">
        <v>342</v>
      </c>
      <c r="F4" s="402"/>
      <c r="G4" s="402"/>
      <c r="H4" s="402"/>
      <c r="I4" s="402"/>
    </row>
    <row r="7" spans="2:12" ht="18.75">
      <c r="B7" s="404" t="s">
        <v>327</v>
      </c>
      <c r="C7" s="404"/>
      <c r="D7" s="404"/>
      <c r="E7" s="404"/>
      <c r="F7" s="404"/>
      <c r="G7" s="404"/>
      <c r="H7" s="404"/>
      <c r="I7" s="404"/>
      <c r="J7" s="99"/>
      <c r="K7" s="100"/>
      <c r="L7" s="100"/>
    </row>
    <row r="8" spans="1:12" ht="15.75">
      <c r="A8" s="101"/>
      <c r="B8" s="298"/>
      <c r="C8" s="298"/>
      <c r="D8" s="298"/>
      <c r="E8" s="298"/>
      <c r="F8" s="298"/>
      <c r="G8" s="298"/>
      <c r="H8" s="298"/>
      <c r="I8" s="298"/>
      <c r="J8" s="101"/>
      <c r="K8" s="101"/>
      <c r="L8" s="101"/>
    </row>
    <row r="9" spans="1:12" s="104" customFormat="1" ht="15.75">
      <c r="A9" s="102"/>
      <c r="B9" s="299" t="s">
        <v>81</v>
      </c>
      <c r="C9" s="299" t="s">
        <v>125</v>
      </c>
      <c r="D9" s="299" t="s">
        <v>288</v>
      </c>
      <c r="E9" s="299" t="s">
        <v>328</v>
      </c>
      <c r="F9" s="299" t="s">
        <v>216</v>
      </c>
      <c r="G9" s="299" t="s">
        <v>217</v>
      </c>
      <c r="H9" s="299" t="s">
        <v>218</v>
      </c>
      <c r="I9" s="299" t="s">
        <v>219</v>
      </c>
      <c r="J9" s="103"/>
      <c r="K9" s="103"/>
      <c r="L9" s="103"/>
    </row>
    <row r="10" spans="1:12" s="104" customFormat="1" ht="15.75">
      <c r="A10" s="102"/>
      <c r="B10" s="299">
        <v>1</v>
      </c>
      <c r="C10" s="300" t="s">
        <v>220</v>
      </c>
      <c r="D10" s="299" t="s">
        <v>289</v>
      </c>
      <c r="E10" s="301">
        <f>+(F10+G10+H10+I10)</f>
        <v>95.9</v>
      </c>
      <c r="F10" s="302">
        <v>22.9</v>
      </c>
      <c r="G10" s="302">
        <v>24.2</v>
      </c>
      <c r="H10" s="302">
        <v>24.4</v>
      </c>
      <c r="I10" s="302">
        <v>24.4</v>
      </c>
      <c r="J10" s="103"/>
      <c r="K10" s="103"/>
      <c r="L10" s="103"/>
    </row>
    <row r="11" spans="1:12" s="104" customFormat="1" ht="15.75">
      <c r="A11" s="102"/>
      <c r="B11" s="299">
        <v>2</v>
      </c>
      <c r="C11" s="300" t="s">
        <v>221</v>
      </c>
      <c r="D11" s="299" t="s">
        <v>290</v>
      </c>
      <c r="E11" s="301">
        <f>+(F11+G11+H11+I11)/4</f>
        <v>0.375</v>
      </c>
      <c r="F11" s="301">
        <v>0.37</v>
      </c>
      <c r="G11" s="301">
        <v>0.37</v>
      </c>
      <c r="H11" s="301">
        <v>0.38</v>
      </c>
      <c r="I11" s="301">
        <v>0.38</v>
      </c>
      <c r="J11" s="103"/>
      <c r="K11" s="103"/>
      <c r="L11" s="103"/>
    </row>
    <row r="12" spans="1:12" s="104" customFormat="1" ht="15.75">
      <c r="A12" s="102"/>
      <c r="B12" s="299">
        <v>3</v>
      </c>
      <c r="C12" s="300" t="s">
        <v>222</v>
      </c>
      <c r="D12" s="299" t="s">
        <v>290</v>
      </c>
      <c r="E12" s="301">
        <f>+(F12+G12+H12+I12)/4</f>
        <v>0.9375</v>
      </c>
      <c r="F12" s="299">
        <v>0.93</v>
      </c>
      <c r="G12" s="299">
        <v>0.94</v>
      </c>
      <c r="H12" s="299">
        <v>0.94</v>
      </c>
      <c r="I12" s="299">
        <v>0.94</v>
      </c>
      <c r="J12" s="103"/>
      <c r="K12" s="103"/>
      <c r="L12" s="103"/>
    </row>
    <row r="13" spans="1:12" s="104" customFormat="1" ht="17.25" customHeight="1">
      <c r="A13" s="102"/>
      <c r="B13" s="299">
        <v>4</v>
      </c>
      <c r="C13" s="300" t="s">
        <v>223</v>
      </c>
      <c r="D13" s="299" t="s">
        <v>291</v>
      </c>
      <c r="E13" s="302">
        <f>+(F13+G13+H13+I13)/4</f>
        <v>8.399999999999999</v>
      </c>
      <c r="F13" s="302">
        <v>8.2</v>
      </c>
      <c r="G13" s="302">
        <v>8.6</v>
      </c>
      <c r="H13" s="302">
        <v>8.4</v>
      </c>
      <c r="I13" s="302">
        <v>8.4</v>
      </c>
      <c r="J13" s="103"/>
      <c r="K13" s="103"/>
      <c r="L13" s="103"/>
    </row>
    <row r="14" spans="1:12" s="104" customFormat="1" ht="15.75">
      <c r="A14" s="102"/>
      <c r="B14" s="299">
        <v>5</v>
      </c>
      <c r="C14" s="300" t="s">
        <v>224</v>
      </c>
      <c r="D14" s="299" t="s">
        <v>292</v>
      </c>
      <c r="E14" s="303">
        <f>+(F14+G14+H14+I14)/4</f>
        <v>130.75</v>
      </c>
      <c r="F14" s="299">
        <v>129</v>
      </c>
      <c r="G14" s="299">
        <v>132</v>
      </c>
      <c r="H14" s="299">
        <v>131</v>
      </c>
      <c r="I14" s="299">
        <v>131</v>
      </c>
      <c r="J14" s="103"/>
      <c r="K14" s="103"/>
      <c r="L14" s="103"/>
    </row>
    <row r="15" spans="1:12" s="104" customFormat="1" ht="15.75">
      <c r="A15" s="102"/>
      <c r="B15" s="299">
        <v>6</v>
      </c>
      <c r="C15" s="300" t="s">
        <v>57</v>
      </c>
      <c r="D15" s="299" t="s">
        <v>104</v>
      </c>
      <c r="E15" s="304">
        <f>+F15+G15+H15+I15</f>
        <v>11000</v>
      </c>
      <c r="F15" s="305">
        <v>2750</v>
      </c>
      <c r="G15" s="305">
        <v>2750</v>
      </c>
      <c r="H15" s="305">
        <v>2750</v>
      </c>
      <c r="I15" s="305">
        <v>2750</v>
      </c>
      <c r="J15" s="103"/>
      <c r="K15" s="103"/>
      <c r="L15" s="103"/>
    </row>
    <row r="16" spans="1:12" s="104" customFormat="1" ht="15.75">
      <c r="A16" s="102"/>
      <c r="B16" s="299">
        <v>7</v>
      </c>
      <c r="C16" s="300" t="s">
        <v>225</v>
      </c>
      <c r="D16" s="299" t="s">
        <v>104</v>
      </c>
      <c r="E16" s="304">
        <f>+F16+G16+H16+I16+2</f>
        <v>7902</v>
      </c>
      <c r="F16" s="304">
        <v>1979</v>
      </c>
      <c r="G16" s="304">
        <v>1967</v>
      </c>
      <c r="H16" s="304">
        <v>1987</v>
      </c>
      <c r="I16" s="304">
        <v>1967</v>
      </c>
      <c r="J16" s="103"/>
      <c r="K16" s="103"/>
      <c r="L16" s="103"/>
    </row>
    <row r="17" spans="1:12" s="104" customFormat="1" ht="15.75">
      <c r="A17" s="102"/>
      <c r="B17" s="299">
        <v>8</v>
      </c>
      <c r="C17" s="300" t="s">
        <v>226</v>
      </c>
      <c r="D17" s="299" t="s">
        <v>104</v>
      </c>
      <c r="E17" s="304">
        <f>+F17+G17+H17+I17</f>
        <v>3098</v>
      </c>
      <c r="F17" s="304">
        <v>772</v>
      </c>
      <c r="G17" s="304">
        <v>782</v>
      </c>
      <c r="H17" s="304">
        <v>762</v>
      </c>
      <c r="I17" s="304">
        <v>782</v>
      </c>
      <c r="J17" s="103"/>
      <c r="K17" s="103"/>
      <c r="L17" s="103"/>
    </row>
    <row r="18" spans="1:12" s="104" customFormat="1" ht="15.75">
      <c r="A18" s="102"/>
      <c r="B18" s="299">
        <v>9</v>
      </c>
      <c r="C18" s="300" t="s">
        <v>227</v>
      </c>
      <c r="D18" s="299" t="s">
        <v>104</v>
      </c>
      <c r="E18" s="304">
        <f>+F18+G18+H18+I18</f>
        <v>6184.352</v>
      </c>
      <c r="F18" s="304">
        <v>1507.639</v>
      </c>
      <c r="G18" s="304">
        <v>1524.506</v>
      </c>
      <c r="H18" s="304">
        <v>1533.418</v>
      </c>
      <c r="I18" s="304">
        <v>1618.789</v>
      </c>
      <c r="J18" s="103"/>
      <c r="K18" s="103"/>
      <c r="L18" s="103"/>
    </row>
    <row r="19" spans="1:12" s="104" customFormat="1" ht="15.75">
      <c r="A19" s="102"/>
      <c r="B19" s="299">
        <v>10</v>
      </c>
      <c r="C19" s="300" t="s">
        <v>228</v>
      </c>
      <c r="D19" s="299" t="s">
        <v>293</v>
      </c>
      <c r="E19" s="303">
        <f>+(F19+G19+H19+I19)/4</f>
        <v>100</v>
      </c>
      <c r="F19" s="304">
        <v>100</v>
      </c>
      <c r="G19" s="304">
        <v>100</v>
      </c>
      <c r="H19" s="304">
        <v>100</v>
      </c>
      <c r="I19" s="304">
        <v>100</v>
      </c>
      <c r="J19" s="103"/>
      <c r="K19" s="103"/>
      <c r="L19" s="103"/>
    </row>
    <row r="20" spans="1:12" s="104" customFormat="1" ht="15.75">
      <c r="A20" s="102"/>
      <c r="B20" s="299"/>
      <c r="C20" s="300" t="s">
        <v>229</v>
      </c>
      <c r="D20" s="299" t="s">
        <v>293</v>
      </c>
      <c r="E20" s="303">
        <f>+(F20+G20+H20+I20)/4</f>
        <v>100</v>
      </c>
      <c r="F20" s="304">
        <f>F19</f>
        <v>100</v>
      </c>
      <c r="G20" s="304">
        <f>G19</f>
        <v>100</v>
      </c>
      <c r="H20" s="304">
        <f>H19</f>
        <v>100</v>
      </c>
      <c r="I20" s="304">
        <f>I19</f>
        <v>100</v>
      </c>
      <c r="J20" s="103"/>
      <c r="K20" s="103"/>
      <c r="L20" s="103"/>
    </row>
    <row r="21" spans="1:12" s="104" customFormat="1" ht="15.75">
      <c r="A21" s="102"/>
      <c r="B21" s="299">
        <v>11</v>
      </c>
      <c r="C21" s="300" t="s">
        <v>230</v>
      </c>
      <c r="D21" s="299" t="s">
        <v>294</v>
      </c>
      <c r="E21" s="304">
        <f>E18/E19/12*1000000</f>
        <v>5153626.666666667</v>
      </c>
      <c r="F21" s="304">
        <f>F18/F19/3*1000000</f>
        <v>5025463.333333333</v>
      </c>
      <c r="G21" s="304">
        <f>G18/G19/3*1000000</f>
        <v>5081686.666666667</v>
      </c>
      <c r="H21" s="304">
        <f>H18/H19/3*1000000</f>
        <v>5111393.333333333</v>
      </c>
      <c r="I21" s="304">
        <f>I18/I19/3*1000000</f>
        <v>5395963.333333333</v>
      </c>
      <c r="J21" s="103"/>
      <c r="K21" s="103"/>
      <c r="L21" s="103"/>
    </row>
    <row r="22" spans="1:12" s="104" customFormat="1" ht="15.75">
      <c r="A22" s="102"/>
      <c r="B22" s="299">
        <v>12</v>
      </c>
      <c r="C22" s="300" t="s">
        <v>231</v>
      </c>
      <c r="D22" s="299" t="s">
        <v>295</v>
      </c>
      <c r="E22" s="304">
        <f>E15/E19*1000</f>
        <v>110000</v>
      </c>
      <c r="F22" s="304">
        <f>F15/F19*1000</f>
        <v>27500</v>
      </c>
      <c r="G22" s="304">
        <f>G15/G19*1000</f>
        <v>27500</v>
      </c>
      <c r="H22" s="304">
        <f>H15/H19*1000</f>
        <v>27500</v>
      </c>
      <c r="I22" s="304">
        <f>I15/I19*1000</f>
        <v>27500</v>
      </c>
      <c r="J22" s="103"/>
      <c r="K22" s="103"/>
      <c r="L22" s="103"/>
    </row>
    <row r="23" spans="1:12" s="104" customFormat="1" ht="16.5" customHeight="1">
      <c r="A23" s="102"/>
      <c r="B23" s="299">
        <v>13</v>
      </c>
      <c r="C23" s="300" t="s">
        <v>232</v>
      </c>
      <c r="D23" s="299" t="s">
        <v>291</v>
      </c>
      <c r="E23" s="302">
        <f>E10/E19*1000</f>
        <v>959.0000000000001</v>
      </c>
      <c r="F23" s="302">
        <f>F10/F19*1000</f>
        <v>228.99999999999997</v>
      </c>
      <c r="G23" s="302">
        <f>G10/G19*1000</f>
        <v>242</v>
      </c>
      <c r="H23" s="302">
        <f>H10/H19*1000</f>
        <v>244</v>
      </c>
      <c r="I23" s="302">
        <f>I10/I19*1000</f>
        <v>244</v>
      </c>
      <c r="J23" s="103"/>
      <c r="K23" s="103"/>
      <c r="L23" s="103"/>
    </row>
    <row r="24" spans="1:12" s="104" customFormat="1" ht="15.75">
      <c r="A24" s="102"/>
      <c r="B24" s="299">
        <v>14</v>
      </c>
      <c r="C24" s="300" t="s">
        <v>233</v>
      </c>
      <c r="D24" s="299" t="s">
        <v>294</v>
      </c>
      <c r="E24" s="304">
        <f>E16/E10*10000</f>
        <v>823983.3159541189</v>
      </c>
      <c r="F24" s="304">
        <f>F16/F10*10000</f>
        <v>864192.1397379913</v>
      </c>
      <c r="G24" s="304">
        <f>G16/G10*10000</f>
        <v>812809.917355372</v>
      </c>
      <c r="H24" s="304">
        <f>H16/H10*10000</f>
        <v>814344.2622950821</v>
      </c>
      <c r="I24" s="304">
        <f>I16/I10*10000</f>
        <v>806147.5409836066</v>
      </c>
      <c r="J24" s="103"/>
      <c r="K24" s="103"/>
      <c r="L24" s="103"/>
    </row>
    <row r="25" spans="1:12" s="104" customFormat="1" ht="15.75">
      <c r="A25" s="102"/>
      <c r="B25" s="299">
        <v>15</v>
      </c>
      <c r="C25" s="300" t="s">
        <v>234</v>
      </c>
      <c r="D25" s="299" t="s">
        <v>235</v>
      </c>
      <c r="E25" s="302">
        <f>E17/E16*100</f>
        <v>39.205264490002534</v>
      </c>
      <c r="F25" s="302">
        <f>F17/F16*100</f>
        <v>39.00960080848914</v>
      </c>
      <c r="G25" s="302">
        <f>G17/G16*100</f>
        <v>39.75597356380274</v>
      </c>
      <c r="H25" s="302">
        <f>H17/H16*100</f>
        <v>38.34927025666835</v>
      </c>
      <c r="I25" s="302">
        <f>I17/I16*100</f>
        <v>39.75597356380274</v>
      </c>
      <c r="J25" s="103"/>
      <c r="K25" s="103"/>
      <c r="L25" s="103"/>
    </row>
    <row r="26" spans="1:12" s="104" customFormat="1" ht="15.75">
      <c r="A26" s="102"/>
      <c r="B26" s="306"/>
      <c r="C26" s="306"/>
      <c r="D26" s="306"/>
      <c r="E26" s="307"/>
      <c r="F26" s="306"/>
      <c r="G26" s="306"/>
      <c r="H26" s="306"/>
      <c r="I26" s="306"/>
      <c r="J26" s="103"/>
      <c r="K26" s="103"/>
      <c r="L26" s="103"/>
    </row>
    <row r="27" spans="1:12" s="104" customFormat="1" ht="15.75">
      <c r="A27" s="102"/>
      <c r="B27" s="306"/>
      <c r="C27" s="339" t="s">
        <v>280</v>
      </c>
      <c r="D27" s="340"/>
      <c r="E27" s="403" t="s">
        <v>320</v>
      </c>
      <c r="F27" s="403"/>
      <c r="G27" s="403"/>
      <c r="H27" s="341"/>
      <c r="I27" s="336"/>
      <c r="J27" s="336"/>
      <c r="K27" s="336"/>
      <c r="L27" s="103"/>
    </row>
    <row r="28" spans="1:12" s="104" customFormat="1" ht="15.75">
      <c r="A28" s="102"/>
      <c r="B28" s="103"/>
      <c r="C28" s="103"/>
      <c r="D28" s="103"/>
      <c r="E28" s="103"/>
      <c r="F28" s="103"/>
      <c r="G28" s="103"/>
      <c r="H28" s="105"/>
      <c r="I28" s="103"/>
      <c r="J28" s="103"/>
      <c r="K28" s="103"/>
      <c r="L28" s="103"/>
    </row>
    <row r="29" spans="1:12" s="104" customFormat="1" ht="15.75">
      <c r="A29" s="102"/>
      <c r="B29" s="103"/>
      <c r="C29" s="103"/>
      <c r="D29" s="103"/>
      <c r="E29" s="103"/>
      <c r="F29" s="103"/>
      <c r="G29" s="103"/>
      <c r="H29" s="105"/>
      <c r="I29" s="103"/>
      <c r="J29" s="103"/>
      <c r="K29" s="103"/>
      <c r="L29" s="103"/>
    </row>
    <row r="30" spans="1:12" s="104" customFormat="1" ht="17.25">
      <c r="A30" s="102"/>
      <c r="B30" s="98">
        <v>16</v>
      </c>
      <c r="C30" s="103"/>
      <c r="D30" s="103"/>
      <c r="E30" s="103"/>
      <c r="F30" s="103"/>
      <c r="G30" s="103"/>
      <c r="H30" s="105"/>
      <c r="I30" s="103"/>
      <c r="J30" s="103"/>
      <c r="K30" s="103"/>
      <c r="L30" s="103"/>
    </row>
    <row r="31" spans="1:12" s="104" customFormat="1" ht="15.7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s="104" customFormat="1" ht="15.7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1:12" s="104" customFormat="1" ht="15.75">
      <c r="A33" s="102"/>
      <c r="B33" s="98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1:12" s="104" customFormat="1" ht="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1:12" s="104" customFormat="1" ht="1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1:12" s="104" customFormat="1" ht="1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1:12" s="104" customFormat="1" ht="15.75">
      <c r="A37" s="106"/>
      <c r="B37" s="106"/>
      <c r="C37" s="106"/>
      <c r="D37" s="106"/>
      <c r="E37" s="106"/>
      <c r="F37" s="107"/>
      <c r="G37" s="107"/>
      <c r="H37" s="107"/>
      <c r="I37" s="106"/>
      <c r="J37" s="106"/>
      <c r="K37" s="106"/>
      <c r="L37" s="106"/>
    </row>
    <row r="38" spans="1:12" s="104" customFormat="1" ht="1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1:19" ht="15.75">
      <c r="A39" s="108"/>
      <c r="B39" s="108"/>
      <c r="C39" s="109"/>
      <c r="D39" s="109"/>
      <c r="E39" s="109"/>
      <c r="F39" s="17"/>
      <c r="G39" s="17"/>
      <c r="H39" s="17"/>
      <c r="I39" s="109"/>
      <c r="J39" s="109"/>
      <c r="K39" s="110"/>
      <c r="L39" s="110"/>
      <c r="M39" s="70"/>
      <c r="N39" s="70"/>
      <c r="O39" s="70"/>
      <c r="P39" s="70"/>
      <c r="Q39" s="70"/>
      <c r="R39" s="70"/>
      <c r="S39" s="70"/>
    </row>
    <row r="40" spans="1:19" ht="15">
      <c r="A40" s="108"/>
      <c r="B40" s="108"/>
      <c r="C40" s="109"/>
      <c r="D40" s="109"/>
      <c r="E40" s="109"/>
      <c r="F40" s="111"/>
      <c r="G40" s="109"/>
      <c r="H40" s="109"/>
      <c r="I40" s="109"/>
      <c r="J40" s="109"/>
      <c r="K40" s="110"/>
      <c r="L40" s="110"/>
      <c r="M40" s="70"/>
      <c r="N40" s="70"/>
      <c r="O40" s="70"/>
      <c r="P40" s="70"/>
      <c r="Q40" s="70"/>
      <c r="R40" s="70"/>
      <c r="S40" s="70"/>
    </row>
    <row r="41" spans="1:19" ht="15.75">
      <c r="A41" s="112"/>
      <c r="B41" s="112"/>
      <c r="C41" s="110"/>
      <c r="D41" s="110"/>
      <c r="E41" s="110"/>
      <c r="F41" s="62"/>
      <c r="G41" s="60"/>
      <c r="H41" s="60"/>
      <c r="I41" s="110"/>
      <c r="J41" s="110"/>
      <c r="K41" s="110"/>
      <c r="L41" s="110"/>
      <c r="M41" s="70"/>
      <c r="N41" s="70"/>
      <c r="O41" s="70"/>
      <c r="P41" s="70"/>
      <c r="Q41" s="70"/>
      <c r="R41" s="70"/>
      <c r="S41" s="70"/>
    </row>
    <row r="42" spans="1:19" ht="15">
      <c r="A42" s="112"/>
      <c r="B42" s="112"/>
      <c r="C42" s="110"/>
      <c r="D42" s="110"/>
      <c r="E42" s="110"/>
      <c r="F42" s="113"/>
      <c r="G42" s="110"/>
      <c r="H42" s="110"/>
      <c r="I42" s="110"/>
      <c r="J42" s="110"/>
      <c r="K42" s="110"/>
      <c r="L42" s="110"/>
      <c r="M42" s="70"/>
      <c r="N42" s="70"/>
      <c r="O42" s="70"/>
      <c r="P42" s="70"/>
      <c r="Q42" s="70"/>
      <c r="R42" s="70"/>
      <c r="S42" s="70"/>
    </row>
    <row r="43" spans="1:19" ht="15.75">
      <c r="A43" s="112"/>
      <c r="B43" s="112"/>
      <c r="C43" s="110"/>
      <c r="D43" s="110"/>
      <c r="E43" s="110"/>
      <c r="F43" s="62"/>
      <c r="G43" s="60"/>
      <c r="H43" s="60"/>
      <c r="I43" s="110"/>
      <c r="J43" s="110"/>
      <c r="K43" s="110"/>
      <c r="L43" s="110"/>
      <c r="M43" s="70"/>
      <c r="N43" s="70"/>
      <c r="O43" s="70"/>
      <c r="P43" s="70"/>
      <c r="Q43" s="70"/>
      <c r="R43" s="70"/>
      <c r="S43" s="70"/>
    </row>
    <row r="44" spans="1:19" ht="15">
      <c r="A44" s="112"/>
      <c r="B44" s="112"/>
      <c r="C44" s="110"/>
      <c r="D44" s="110"/>
      <c r="E44" s="110"/>
      <c r="F44" s="113"/>
      <c r="G44" s="110"/>
      <c r="H44" s="110"/>
      <c r="I44" s="110"/>
      <c r="J44" s="110"/>
      <c r="K44" s="110"/>
      <c r="L44" s="110"/>
      <c r="M44" s="70"/>
      <c r="N44" s="70"/>
      <c r="O44" s="70"/>
      <c r="P44" s="70"/>
      <c r="Q44" s="70"/>
      <c r="R44" s="70"/>
      <c r="S44" s="70"/>
    </row>
    <row r="45" spans="1:19" ht="15.75">
      <c r="A45" s="112"/>
      <c r="B45" s="112"/>
      <c r="C45" s="110"/>
      <c r="D45" s="110"/>
      <c r="E45" s="110"/>
      <c r="F45" s="62"/>
      <c r="G45" s="60"/>
      <c r="H45" s="60"/>
      <c r="I45" s="110"/>
      <c r="J45" s="110"/>
      <c r="K45" s="110"/>
      <c r="L45" s="110"/>
      <c r="M45" s="70"/>
      <c r="N45" s="70"/>
      <c r="O45" s="70"/>
      <c r="P45" s="70"/>
      <c r="Q45" s="70"/>
      <c r="R45" s="70"/>
      <c r="S45" s="70"/>
    </row>
    <row r="46" spans="1:19" ht="15.75">
      <c r="A46" s="112"/>
      <c r="B46" s="112"/>
      <c r="C46" s="110"/>
      <c r="D46" s="110"/>
      <c r="E46" s="110"/>
      <c r="F46" s="62"/>
      <c r="G46" s="60"/>
      <c r="H46" s="60"/>
      <c r="I46" s="110"/>
      <c r="J46" s="110"/>
      <c r="K46" s="110"/>
      <c r="L46" s="110"/>
      <c r="M46" s="70"/>
      <c r="N46" s="70"/>
      <c r="O46" s="70"/>
      <c r="P46" s="70"/>
      <c r="Q46" s="70"/>
      <c r="R46" s="70"/>
      <c r="S46" s="70"/>
    </row>
    <row r="47" spans="1:19" ht="15">
      <c r="A47" s="112"/>
      <c r="B47" s="112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70"/>
      <c r="N47" s="70"/>
      <c r="O47" s="70"/>
      <c r="P47" s="70"/>
      <c r="Q47" s="70"/>
      <c r="R47" s="70"/>
      <c r="S47" s="70"/>
    </row>
    <row r="48" spans="1:19" ht="15">
      <c r="A48" s="112"/>
      <c r="B48" s="112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70"/>
      <c r="N48" s="70"/>
      <c r="O48" s="70"/>
      <c r="P48" s="70"/>
      <c r="Q48" s="70"/>
      <c r="R48" s="70"/>
      <c r="S48" s="70"/>
    </row>
    <row r="49" spans="1:19" ht="15">
      <c r="A49" s="112"/>
      <c r="B49" s="112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70"/>
      <c r="N49" s="70"/>
      <c r="O49" s="70"/>
      <c r="P49" s="70"/>
      <c r="Q49" s="70"/>
      <c r="R49" s="70"/>
      <c r="S49" s="70"/>
    </row>
    <row r="50" spans="1:19" ht="15">
      <c r="A50" s="112"/>
      <c r="B50" s="112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70"/>
      <c r="N50" s="70"/>
      <c r="O50" s="70"/>
      <c r="P50" s="70"/>
      <c r="Q50" s="70"/>
      <c r="R50" s="70"/>
      <c r="S50" s="70"/>
    </row>
    <row r="51" spans="1:19" ht="15">
      <c r="A51" s="112"/>
      <c r="B51" s="112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70"/>
      <c r="N51" s="70"/>
      <c r="O51" s="70"/>
      <c r="P51" s="70"/>
      <c r="Q51" s="70"/>
      <c r="R51" s="70"/>
      <c r="S51" s="70"/>
    </row>
    <row r="52" spans="3:19" ht="12.75"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3:19" ht="12.75"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3:19" ht="12.75"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3:19" ht="12.75"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3:19" ht="12.75"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3:19" ht="12.75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3:19" ht="12.75"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3:19" ht="12.7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3:19" ht="12.7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3:19" ht="12.7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3:19" ht="12.75"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</sheetData>
  <sheetProtection/>
  <mergeCells count="6">
    <mergeCell ref="E4:I4"/>
    <mergeCell ref="E27:G27"/>
    <mergeCell ref="B7:I7"/>
    <mergeCell ref="E1:I1"/>
    <mergeCell ref="E2:I2"/>
    <mergeCell ref="E3:I3"/>
  </mergeCells>
  <printOptions/>
  <pageMargins left="0.31496062992125984" right="0.1968503937007874" top="1.062992125984252" bottom="0.7086614173228347" header="0.5118110236220472" footer="0.31496062992125984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T110"/>
  <sheetViews>
    <sheetView tabSelected="1" zoomScale="85" zoomScaleNormal="85" zoomScalePageLayoutView="0" workbookViewId="0" topLeftCell="A61">
      <selection activeCell="B83" sqref="B83"/>
    </sheetView>
  </sheetViews>
  <sheetFormatPr defaultColWidth="9.00390625" defaultRowHeight="12.75"/>
  <cols>
    <col min="1" max="1" width="15.625" style="79" customWidth="1"/>
    <col min="2" max="2" width="11.25390625" style="79" customWidth="1"/>
    <col min="3" max="3" width="9.625" style="79" customWidth="1"/>
    <col min="4" max="4" width="10.25390625" style="79" customWidth="1"/>
    <col min="5" max="5" width="9.375" style="79" customWidth="1"/>
    <col min="6" max="7" width="12.625" style="79" customWidth="1"/>
    <col min="8" max="8" width="9.125" style="79" customWidth="1"/>
    <col min="9" max="9" width="9.25390625" style="79" customWidth="1"/>
    <col min="10" max="10" width="10.75390625" style="79" customWidth="1"/>
    <col min="11" max="11" width="10.625" style="79" customWidth="1"/>
    <col min="12" max="12" width="15.625" style="79" customWidth="1"/>
    <col min="13" max="13" width="16.375" style="79" customWidth="1"/>
    <col min="14" max="14" width="15.75390625" style="79" customWidth="1"/>
    <col min="15" max="16" width="12.125" style="79" customWidth="1"/>
    <col min="17" max="17" width="10.25390625" style="79" bestFit="1" customWidth="1"/>
    <col min="18" max="16384" width="9.125" style="79" customWidth="1"/>
  </cols>
  <sheetData>
    <row r="1" spans="8:14" ht="18.75" customHeight="1">
      <c r="H1" s="337"/>
      <c r="I1" s="337"/>
      <c r="J1" s="402" t="s">
        <v>250</v>
      </c>
      <c r="K1" s="402"/>
      <c r="L1" s="402"/>
      <c r="M1" s="402"/>
      <c r="N1" s="402"/>
    </row>
    <row r="2" spans="8:14" ht="18">
      <c r="H2" s="337"/>
      <c r="I2" s="337"/>
      <c r="J2" s="402" t="s">
        <v>279</v>
      </c>
      <c r="K2" s="402"/>
      <c r="L2" s="402"/>
      <c r="M2" s="402"/>
      <c r="N2" s="402"/>
    </row>
    <row r="3" spans="8:14" ht="18">
      <c r="H3" s="337"/>
      <c r="I3" s="337"/>
      <c r="J3" s="402" t="s">
        <v>318</v>
      </c>
      <c r="K3" s="402"/>
      <c r="L3" s="402"/>
      <c r="M3" s="402"/>
      <c r="N3" s="402"/>
    </row>
    <row r="4" spans="8:14" ht="18">
      <c r="H4" s="337"/>
      <c r="I4" s="337"/>
      <c r="J4" s="402" t="s">
        <v>342</v>
      </c>
      <c r="K4" s="402"/>
      <c r="L4" s="402"/>
      <c r="M4" s="402"/>
      <c r="N4" s="402"/>
    </row>
    <row r="5" spans="8:14" ht="12.75">
      <c r="H5" s="337"/>
      <c r="I5" s="337"/>
      <c r="J5" s="11"/>
      <c r="K5" s="11"/>
      <c r="L5" s="11"/>
      <c r="M5" s="11"/>
      <c r="N5" s="11"/>
    </row>
    <row r="6" spans="9:13" ht="12.75">
      <c r="I6" s="145"/>
      <c r="J6" s="80"/>
      <c r="K6" s="80"/>
      <c r="L6" s="80"/>
      <c r="M6" s="80"/>
    </row>
    <row r="7" spans="1:14" ht="18">
      <c r="A7" s="404" t="s">
        <v>53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</row>
    <row r="8" spans="1:14" ht="18">
      <c r="A8" s="404" t="s">
        <v>325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</row>
    <row r="9" spans="1:14" ht="15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</row>
    <row r="10" spans="1:16" s="83" customFormat="1" ht="15.75">
      <c r="A10" s="406"/>
      <c r="B10" s="406" t="s">
        <v>54</v>
      </c>
      <c r="C10" s="406" t="s">
        <v>322</v>
      </c>
      <c r="D10" s="406"/>
      <c r="E10" s="406"/>
      <c r="F10" s="406" t="s">
        <v>287</v>
      </c>
      <c r="G10" s="406" t="s">
        <v>282</v>
      </c>
      <c r="H10" s="406" t="s">
        <v>55</v>
      </c>
      <c r="I10" s="406" t="s">
        <v>56</v>
      </c>
      <c r="J10" s="406" t="s">
        <v>313</v>
      </c>
      <c r="K10" s="406" t="s">
        <v>321</v>
      </c>
      <c r="L10" s="406" t="s">
        <v>57</v>
      </c>
      <c r="M10" s="406" t="s">
        <v>58</v>
      </c>
      <c r="N10" s="406" t="s">
        <v>59</v>
      </c>
      <c r="O10" s="81"/>
      <c r="P10" s="82"/>
    </row>
    <row r="11" spans="1:17" s="83" customFormat="1" ht="69.75" customHeight="1">
      <c r="A11" s="406"/>
      <c r="B11" s="406"/>
      <c r="C11" s="338" t="s">
        <v>60</v>
      </c>
      <c r="D11" s="338" t="s">
        <v>61</v>
      </c>
      <c r="E11" s="338" t="s">
        <v>323</v>
      </c>
      <c r="F11" s="406"/>
      <c r="G11" s="406"/>
      <c r="H11" s="406"/>
      <c r="I11" s="406"/>
      <c r="J11" s="406"/>
      <c r="K11" s="406"/>
      <c r="L11" s="406"/>
      <c r="M11" s="406"/>
      <c r="N11" s="406"/>
      <c r="O11" s="254"/>
      <c r="P11" s="255"/>
      <c r="Q11" s="256"/>
    </row>
    <row r="12" spans="1:18" ht="15.75">
      <c r="A12" s="411" t="s">
        <v>62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252"/>
      <c r="P12" s="274"/>
      <c r="Q12" s="270"/>
      <c r="R12" s="270"/>
    </row>
    <row r="13" spans="1:18" ht="15.75">
      <c r="A13" s="310" t="s">
        <v>326</v>
      </c>
      <c r="B13" s="311">
        <v>85</v>
      </c>
      <c r="C13" s="311">
        <f>B13*31</f>
        <v>2635</v>
      </c>
      <c r="D13" s="311">
        <v>1000</v>
      </c>
      <c r="E13" s="311">
        <v>170</v>
      </c>
      <c r="F13" s="311">
        <v>130000</v>
      </c>
      <c r="G13" s="311">
        <v>8200</v>
      </c>
      <c r="H13" s="312">
        <f>+D13/C13</f>
        <v>0.3795066413662239</v>
      </c>
      <c r="I13" s="312">
        <f>+(C13-E13)/C13</f>
        <v>0.9354838709677419</v>
      </c>
      <c r="J13" s="313">
        <f>+G13/D13</f>
        <v>8.2</v>
      </c>
      <c r="K13" s="311">
        <f>+F13/D13</f>
        <v>130</v>
      </c>
      <c r="L13" s="314">
        <v>920000</v>
      </c>
      <c r="M13" s="314">
        <v>660000</v>
      </c>
      <c r="N13" s="314">
        <f>+L13-M13</f>
        <v>260000</v>
      </c>
      <c r="O13" s="252">
        <v>0.9</v>
      </c>
      <c r="P13" s="265"/>
      <c r="Q13" s="270"/>
      <c r="R13" s="270"/>
    </row>
    <row r="14" spans="1:18" ht="15.75">
      <c r="A14" s="310" t="s">
        <v>283</v>
      </c>
      <c r="B14" s="311"/>
      <c r="C14" s="311"/>
      <c r="D14" s="311"/>
      <c r="E14" s="311"/>
      <c r="F14" s="311"/>
      <c r="G14" s="311"/>
      <c r="H14" s="312"/>
      <c r="I14" s="312"/>
      <c r="J14" s="313"/>
      <c r="K14" s="311"/>
      <c r="L14" s="314">
        <v>0</v>
      </c>
      <c r="M14" s="314">
        <f>L14/L15*M15</f>
        <v>0</v>
      </c>
      <c r="N14" s="314">
        <f>+L14-M14</f>
        <v>0</v>
      </c>
      <c r="O14" s="252"/>
      <c r="P14" s="265"/>
      <c r="Q14" s="270"/>
      <c r="R14" s="270"/>
    </row>
    <row r="15" spans="1:18" ht="15" customHeight="1">
      <c r="A15" s="315" t="s">
        <v>187</v>
      </c>
      <c r="B15" s="316">
        <f>B13</f>
        <v>85</v>
      </c>
      <c r="C15" s="316">
        <f aca="true" t="shared" si="0" ref="C15:K15">C13</f>
        <v>2635</v>
      </c>
      <c r="D15" s="316">
        <f t="shared" si="0"/>
        <v>1000</v>
      </c>
      <c r="E15" s="316">
        <f t="shared" si="0"/>
        <v>170</v>
      </c>
      <c r="F15" s="316">
        <f t="shared" si="0"/>
        <v>130000</v>
      </c>
      <c r="G15" s="316">
        <f t="shared" si="0"/>
        <v>8200</v>
      </c>
      <c r="H15" s="317">
        <f t="shared" si="0"/>
        <v>0.3795066413662239</v>
      </c>
      <c r="I15" s="317">
        <f t="shared" si="0"/>
        <v>0.9354838709677419</v>
      </c>
      <c r="J15" s="318">
        <f t="shared" si="0"/>
        <v>8.2</v>
      </c>
      <c r="K15" s="316">
        <f t="shared" si="0"/>
        <v>130</v>
      </c>
      <c r="L15" s="319">
        <f>SUM(L13:L14)</f>
        <v>920000</v>
      </c>
      <c r="M15" s="319">
        <v>428000</v>
      </c>
      <c r="N15" s="320">
        <f>SUM(N13:N14)</f>
        <v>260000</v>
      </c>
      <c r="O15" s="252"/>
      <c r="P15" s="265"/>
      <c r="Q15" s="270"/>
      <c r="R15" s="270"/>
    </row>
    <row r="16" spans="1:18" ht="15.75">
      <c r="A16" s="407" t="s">
        <v>63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252"/>
      <c r="P16" s="274"/>
      <c r="Q16" s="270"/>
      <c r="R16" s="270"/>
    </row>
    <row r="17" spans="1:19" ht="15.75">
      <c r="A17" s="310" t="s">
        <v>326</v>
      </c>
      <c r="B17" s="311">
        <v>85</v>
      </c>
      <c r="C17" s="311">
        <f>B17*28</f>
        <v>2380</v>
      </c>
      <c r="D17" s="311">
        <v>800</v>
      </c>
      <c r="E17" s="311">
        <v>170</v>
      </c>
      <c r="F17" s="311">
        <v>100000</v>
      </c>
      <c r="G17" s="311">
        <v>6500</v>
      </c>
      <c r="H17" s="312">
        <f>+D17/C17</f>
        <v>0.33613445378151263</v>
      </c>
      <c r="I17" s="312">
        <f>+(C17-E17)/C17</f>
        <v>0.9285714285714286</v>
      </c>
      <c r="J17" s="313">
        <f>+G17/D17</f>
        <v>8.125</v>
      </c>
      <c r="K17" s="311">
        <f>+F17/D17</f>
        <v>125</v>
      </c>
      <c r="L17" s="314">
        <v>910000</v>
      </c>
      <c r="M17" s="314">
        <v>658000</v>
      </c>
      <c r="N17" s="314">
        <f>L17-M17</f>
        <v>252000</v>
      </c>
      <c r="O17" s="252">
        <v>0.9</v>
      </c>
      <c r="P17" s="275"/>
      <c r="Q17" s="270"/>
      <c r="R17" s="270"/>
      <c r="S17" s="84"/>
    </row>
    <row r="18" spans="1:19" ht="15.75">
      <c r="A18" s="310" t="s">
        <v>283</v>
      </c>
      <c r="B18" s="311"/>
      <c r="C18" s="311"/>
      <c r="D18" s="311"/>
      <c r="E18" s="311"/>
      <c r="F18" s="311"/>
      <c r="G18" s="311"/>
      <c r="H18" s="312"/>
      <c r="I18" s="312"/>
      <c r="J18" s="313"/>
      <c r="K18" s="311"/>
      <c r="L18" s="314">
        <v>0</v>
      </c>
      <c r="M18" s="314">
        <f>L18/L19*M19</f>
        <v>0</v>
      </c>
      <c r="N18" s="314">
        <f>+L18-M18</f>
        <v>0</v>
      </c>
      <c r="O18" s="252"/>
      <c r="P18" s="275"/>
      <c r="Q18" s="270"/>
      <c r="R18" s="270"/>
      <c r="S18" s="84"/>
    </row>
    <row r="19" spans="1:19" ht="15.75">
      <c r="A19" s="315" t="s">
        <v>187</v>
      </c>
      <c r="B19" s="316">
        <f>B17</f>
        <v>85</v>
      </c>
      <c r="C19" s="316">
        <f aca="true" t="shared" si="1" ref="C19:K19">C17</f>
        <v>2380</v>
      </c>
      <c r="D19" s="316">
        <f t="shared" si="1"/>
        <v>800</v>
      </c>
      <c r="E19" s="316">
        <f t="shared" si="1"/>
        <v>170</v>
      </c>
      <c r="F19" s="316">
        <f t="shared" si="1"/>
        <v>100000</v>
      </c>
      <c r="G19" s="316">
        <f t="shared" si="1"/>
        <v>6500</v>
      </c>
      <c r="H19" s="317">
        <f t="shared" si="1"/>
        <v>0.33613445378151263</v>
      </c>
      <c r="I19" s="317">
        <f t="shared" si="1"/>
        <v>0.9285714285714286</v>
      </c>
      <c r="J19" s="318">
        <f t="shared" si="1"/>
        <v>8.125</v>
      </c>
      <c r="K19" s="316">
        <f t="shared" si="1"/>
        <v>125</v>
      </c>
      <c r="L19" s="320">
        <f>SUM(L17:L18)</f>
        <v>910000</v>
      </c>
      <c r="M19" s="319">
        <v>428000</v>
      </c>
      <c r="N19" s="320">
        <f>SUM(N17:N18)</f>
        <v>252000</v>
      </c>
      <c r="O19" s="252"/>
      <c r="P19" s="274"/>
      <c r="Q19" s="270"/>
      <c r="R19" s="270"/>
      <c r="S19" s="84"/>
    </row>
    <row r="20" spans="1:18" ht="15.75">
      <c r="A20" s="407" t="s">
        <v>64</v>
      </c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252"/>
      <c r="P20" s="274"/>
      <c r="Q20" s="270"/>
      <c r="R20" s="270"/>
    </row>
    <row r="21" spans="1:19" ht="15.75">
      <c r="A21" s="310" t="s">
        <v>326</v>
      </c>
      <c r="B21" s="311">
        <v>85</v>
      </c>
      <c r="C21" s="311">
        <f>B21*31</f>
        <v>2635</v>
      </c>
      <c r="D21" s="311">
        <v>1000</v>
      </c>
      <c r="E21" s="311">
        <v>170</v>
      </c>
      <c r="F21" s="311">
        <v>130000</v>
      </c>
      <c r="G21" s="311">
        <v>8200</v>
      </c>
      <c r="H21" s="312">
        <f>+D21/C21</f>
        <v>0.3795066413662239</v>
      </c>
      <c r="I21" s="312">
        <f>+(C21-E21)/C21</f>
        <v>0.9354838709677419</v>
      </c>
      <c r="J21" s="313">
        <f>+G21/D21</f>
        <v>8.2</v>
      </c>
      <c r="K21" s="311">
        <f>+F21/D21</f>
        <v>130</v>
      </c>
      <c r="L21" s="314">
        <v>920000</v>
      </c>
      <c r="M21" s="314">
        <v>660000</v>
      </c>
      <c r="N21" s="314">
        <f>L21-M21</f>
        <v>260000</v>
      </c>
      <c r="O21" s="252">
        <v>0.9</v>
      </c>
      <c r="P21" s="265"/>
      <c r="Q21" s="272"/>
      <c r="R21" s="270"/>
      <c r="S21" s="84"/>
    </row>
    <row r="22" spans="1:19" ht="15.75">
      <c r="A22" s="310" t="s">
        <v>283</v>
      </c>
      <c r="B22" s="311"/>
      <c r="C22" s="311"/>
      <c r="D22" s="311"/>
      <c r="E22" s="311"/>
      <c r="F22" s="311"/>
      <c r="G22" s="311"/>
      <c r="H22" s="312"/>
      <c r="I22" s="312"/>
      <c r="J22" s="313"/>
      <c r="K22" s="311"/>
      <c r="L22" s="314">
        <v>0</v>
      </c>
      <c r="M22" s="314">
        <f>L22/L23*M23</f>
        <v>0</v>
      </c>
      <c r="N22" s="314">
        <f>+L22-M22</f>
        <v>0</v>
      </c>
      <c r="O22" s="252"/>
      <c r="P22" s="265"/>
      <c r="Q22" s="270"/>
      <c r="R22" s="270"/>
      <c r="S22" s="84"/>
    </row>
    <row r="23" spans="1:19" ht="15.75">
      <c r="A23" s="315" t="s">
        <v>187</v>
      </c>
      <c r="B23" s="316">
        <f>B21</f>
        <v>85</v>
      </c>
      <c r="C23" s="316">
        <f aca="true" t="shared" si="2" ref="C23:K23">C21</f>
        <v>2635</v>
      </c>
      <c r="D23" s="316">
        <f t="shared" si="2"/>
        <v>1000</v>
      </c>
      <c r="E23" s="316">
        <f t="shared" si="2"/>
        <v>170</v>
      </c>
      <c r="F23" s="316">
        <f t="shared" si="2"/>
        <v>130000</v>
      </c>
      <c r="G23" s="316">
        <f t="shared" si="2"/>
        <v>8200</v>
      </c>
      <c r="H23" s="317">
        <f t="shared" si="2"/>
        <v>0.3795066413662239</v>
      </c>
      <c r="I23" s="317">
        <f t="shared" si="2"/>
        <v>0.9354838709677419</v>
      </c>
      <c r="J23" s="318">
        <f t="shared" si="2"/>
        <v>8.2</v>
      </c>
      <c r="K23" s="316">
        <f t="shared" si="2"/>
        <v>130</v>
      </c>
      <c r="L23" s="319">
        <f>SUM(L21:L22)</f>
        <v>920000</v>
      </c>
      <c r="M23" s="319">
        <v>428000</v>
      </c>
      <c r="N23" s="320">
        <f>SUM(N21:N22)</f>
        <v>260000</v>
      </c>
      <c r="O23" s="252"/>
      <c r="P23" s="274"/>
      <c r="Q23" s="270"/>
      <c r="R23" s="270"/>
      <c r="S23" s="84"/>
    </row>
    <row r="24" spans="1:18" ht="15.75">
      <c r="A24" s="407" t="s">
        <v>65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252"/>
      <c r="P24" s="274"/>
      <c r="Q24" s="272"/>
      <c r="R24" s="270"/>
    </row>
    <row r="25" spans="1:19" ht="15.75">
      <c r="A25" s="310" t="s">
        <v>326</v>
      </c>
      <c r="B25" s="311">
        <v>85</v>
      </c>
      <c r="C25" s="311">
        <f>C13+C17+C21</f>
        <v>7650</v>
      </c>
      <c r="D25" s="311">
        <f>D13+D17+D21</f>
        <v>2800</v>
      </c>
      <c r="E25" s="311">
        <f>E15+E19+E23</f>
        <v>510</v>
      </c>
      <c r="F25" s="311">
        <f>F13+F17+F21</f>
        <v>360000</v>
      </c>
      <c r="G25" s="311">
        <f>G13+G17+G21</f>
        <v>22900</v>
      </c>
      <c r="H25" s="312">
        <f>+D25/C25</f>
        <v>0.3660130718954248</v>
      </c>
      <c r="I25" s="312">
        <f>+(C25-E25)/C25</f>
        <v>0.9333333333333333</v>
      </c>
      <c r="J25" s="313">
        <f>+G25/D25</f>
        <v>8.178571428571429</v>
      </c>
      <c r="K25" s="311">
        <f>+F25/D25</f>
        <v>128.57142857142858</v>
      </c>
      <c r="L25" s="314">
        <f>+L13+L17+L21</f>
        <v>2750000</v>
      </c>
      <c r="M25" s="314">
        <f>+M13+M17+M21</f>
        <v>1978000</v>
      </c>
      <c r="N25" s="314">
        <f>+N13+N17+N21</f>
        <v>772000</v>
      </c>
      <c r="O25" s="252">
        <v>0.9</v>
      </c>
      <c r="P25" s="265"/>
      <c r="Q25" s="270"/>
      <c r="R25" s="270"/>
      <c r="S25" s="84"/>
    </row>
    <row r="26" spans="1:19" ht="15.75">
      <c r="A26" s="310" t="s">
        <v>283</v>
      </c>
      <c r="B26" s="311"/>
      <c r="C26" s="311"/>
      <c r="D26" s="311"/>
      <c r="E26" s="311"/>
      <c r="F26" s="311"/>
      <c r="G26" s="311"/>
      <c r="H26" s="312"/>
      <c r="I26" s="312"/>
      <c r="J26" s="313"/>
      <c r="K26" s="311"/>
      <c r="L26" s="314">
        <f>L14+L18+L22</f>
        <v>0</v>
      </c>
      <c r="M26" s="314">
        <f>M14+M18+M22</f>
        <v>0</v>
      </c>
      <c r="N26" s="314">
        <f>N14+N18+N22</f>
        <v>0</v>
      </c>
      <c r="O26" s="252"/>
      <c r="P26" s="265"/>
      <c r="Q26" s="270"/>
      <c r="R26" s="270"/>
      <c r="S26" s="84"/>
    </row>
    <row r="27" spans="1:19" ht="15.75">
      <c r="A27" s="315" t="s">
        <v>187</v>
      </c>
      <c r="B27" s="316">
        <f>B25</f>
        <v>85</v>
      </c>
      <c r="C27" s="316">
        <f aca="true" t="shared" si="3" ref="C27:K27">C25</f>
        <v>7650</v>
      </c>
      <c r="D27" s="316">
        <f t="shared" si="3"/>
        <v>2800</v>
      </c>
      <c r="E27" s="316">
        <f t="shared" si="3"/>
        <v>510</v>
      </c>
      <c r="F27" s="316">
        <f t="shared" si="3"/>
        <v>360000</v>
      </c>
      <c r="G27" s="316">
        <f t="shared" si="3"/>
        <v>22900</v>
      </c>
      <c r="H27" s="317">
        <f t="shared" si="3"/>
        <v>0.3660130718954248</v>
      </c>
      <c r="I27" s="317">
        <f t="shared" si="3"/>
        <v>0.9333333333333333</v>
      </c>
      <c r="J27" s="318">
        <f t="shared" si="3"/>
        <v>8.178571428571429</v>
      </c>
      <c r="K27" s="316">
        <f t="shared" si="3"/>
        <v>128.57142857142858</v>
      </c>
      <c r="L27" s="319">
        <f>+L25+L26</f>
        <v>2750000</v>
      </c>
      <c r="M27" s="319">
        <f>+M25+M26</f>
        <v>1978000</v>
      </c>
      <c r="N27" s="319">
        <f>+N25+N26</f>
        <v>772000</v>
      </c>
      <c r="O27" s="252">
        <v>1</v>
      </c>
      <c r="P27" s="43">
        <v>1977.9</v>
      </c>
      <c r="Q27" s="43">
        <v>1967.9</v>
      </c>
      <c r="R27" s="43">
        <v>1987.9</v>
      </c>
      <c r="S27" s="43">
        <v>1967.9</v>
      </c>
    </row>
    <row r="28" spans="1:19" ht="15">
      <c r="A28" s="321"/>
      <c r="B28" s="322"/>
      <c r="C28" s="322"/>
      <c r="D28" s="322"/>
      <c r="E28" s="322"/>
      <c r="F28" s="322"/>
      <c r="G28" s="322"/>
      <c r="H28" s="323"/>
      <c r="I28" s="323"/>
      <c r="J28" s="324"/>
      <c r="K28" s="324"/>
      <c r="L28" s="325"/>
      <c r="M28" s="325"/>
      <c r="N28" s="325"/>
      <c r="O28" s="252"/>
      <c r="P28" s="252"/>
      <c r="Q28" s="253"/>
      <c r="S28" s="84"/>
    </row>
    <row r="29" spans="1:19" ht="15">
      <c r="A29" s="321"/>
      <c r="B29" s="322"/>
      <c r="C29" s="322"/>
      <c r="D29" s="322"/>
      <c r="E29" s="322"/>
      <c r="F29" s="322"/>
      <c r="G29" s="323"/>
      <c r="H29" s="323"/>
      <c r="I29" s="323"/>
      <c r="J29" s="324"/>
      <c r="K29" s="324"/>
      <c r="L29" s="325"/>
      <c r="M29" s="325"/>
      <c r="N29" s="325"/>
      <c r="O29" s="252"/>
      <c r="P29" s="252"/>
      <c r="Q29" s="253"/>
      <c r="S29" s="84"/>
    </row>
    <row r="30" spans="1:19" ht="15">
      <c r="A30" s="321"/>
      <c r="B30" s="322"/>
      <c r="C30" s="322"/>
      <c r="D30" s="322"/>
      <c r="E30" s="322"/>
      <c r="F30" s="322"/>
      <c r="G30" s="322"/>
      <c r="H30" s="323"/>
      <c r="I30" s="323"/>
      <c r="J30" s="324"/>
      <c r="K30" s="322"/>
      <c r="L30" s="325"/>
      <c r="M30" s="325"/>
      <c r="N30" s="325"/>
      <c r="O30" s="252"/>
      <c r="P30" s="252"/>
      <c r="Q30" s="253"/>
      <c r="S30" s="84"/>
    </row>
    <row r="31" spans="1:19" ht="20.25">
      <c r="A31" s="326">
        <v>17</v>
      </c>
      <c r="B31" s="322"/>
      <c r="C31" s="322"/>
      <c r="D31" s="322"/>
      <c r="E31" s="322"/>
      <c r="F31" s="322"/>
      <c r="G31" s="322"/>
      <c r="H31" s="323"/>
      <c r="I31" s="323"/>
      <c r="J31" s="324"/>
      <c r="K31" s="322"/>
      <c r="L31" s="325"/>
      <c r="M31" s="325"/>
      <c r="N31" s="325"/>
      <c r="O31" s="252"/>
      <c r="P31" s="252"/>
      <c r="Q31" s="253"/>
      <c r="S31" s="84"/>
    </row>
    <row r="32" spans="1:17" ht="15.75">
      <c r="A32" s="407" t="s">
        <v>66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252"/>
      <c r="P32" s="252"/>
      <c r="Q32" s="253"/>
    </row>
    <row r="33" spans="1:19" ht="15.75">
      <c r="A33" s="310" t="s">
        <v>326</v>
      </c>
      <c r="B33" s="311">
        <v>85</v>
      </c>
      <c r="C33" s="311">
        <f>B33*30</f>
        <v>2550</v>
      </c>
      <c r="D33" s="311">
        <v>900</v>
      </c>
      <c r="E33" s="311">
        <v>150</v>
      </c>
      <c r="F33" s="311">
        <v>120000</v>
      </c>
      <c r="G33" s="311">
        <v>8000</v>
      </c>
      <c r="H33" s="312">
        <f>+D33/C33</f>
        <v>0.35294117647058826</v>
      </c>
      <c r="I33" s="312">
        <f>+(C33-E33)/C33</f>
        <v>0.9411764705882353</v>
      </c>
      <c r="J33" s="313">
        <f>+G33/D33</f>
        <v>8.88888888888889</v>
      </c>
      <c r="K33" s="311">
        <f>+F33/D33</f>
        <v>133.33333333333334</v>
      </c>
      <c r="L33" s="314">
        <v>915000</v>
      </c>
      <c r="M33" s="314">
        <v>656000</v>
      </c>
      <c r="N33" s="314">
        <f>L33-M33</f>
        <v>259000</v>
      </c>
      <c r="O33" s="252"/>
      <c r="P33" s="263"/>
      <c r="Q33" s="253"/>
      <c r="R33" s="84"/>
      <c r="S33" s="84"/>
    </row>
    <row r="34" spans="1:19" ht="15.75">
      <c r="A34" s="310" t="s">
        <v>283</v>
      </c>
      <c r="B34" s="311"/>
      <c r="C34" s="311"/>
      <c r="D34" s="311"/>
      <c r="E34" s="311"/>
      <c r="F34" s="311"/>
      <c r="G34" s="311"/>
      <c r="H34" s="312"/>
      <c r="I34" s="312"/>
      <c r="J34" s="313"/>
      <c r="K34" s="311"/>
      <c r="L34" s="314"/>
      <c r="M34" s="314">
        <f>L34/L35*M35</f>
        <v>0</v>
      </c>
      <c r="N34" s="314">
        <f>+L34-M34</f>
        <v>0</v>
      </c>
      <c r="O34" s="252"/>
      <c r="P34" s="263"/>
      <c r="Q34" s="253"/>
      <c r="R34" s="84"/>
      <c r="S34" s="84"/>
    </row>
    <row r="35" spans="1:18" ht="15.75">
      <c r="A35" s="315" t="s">
        <v>187</v>
      </c>
      <c r="B35" s="316">
        <f aca="true" t="shared" si="4" ref="B35:K35">B33</f>
        <v>85</v>
      </c>
      <c r="C35" s="316">
        <f t="shared" si="4"/>
        <v>2550</v>
      </c>
      <c r="D35" s="316">
        <f t="shared" si="4"/>
        <v>900</v>
      </c>
      <c r="E35" s="316">
        <f t="shared" si="4"/>
        <v>150</v>
      </c>
      <c r="F35" s="316">
        <f t="shared" si="4"/>
        <v>120000</v>
      </c>
      <c r="G35" s="316">
        <f>G33</f>
        <v>8000</v>
      </c>
      <c r="H35" s="317">
        <f t="shared" si="4"/>
        <v>0.35294117647058826</v>
      </c>
      <c r="I35" s="317">
        <f t="shared" si="4"/>
        <v>0.9411764705882353</v>
      </c>
      <c r="J35" s="318">
        <f t="shared" si="4"/>
        <v>8.88888888888889</v>
      </c>
      <c r="K35" s="316">
        <f t="shared" si="4"/>
        <v>133.33333333333334</v>
      </c>
      <c r="L35" s="319">
        <f>L33+L34</f>
        <v>915000</v>
      </c>
      <c r="M35" s="319">
        <v>489000</v>
      </c>
      <c r="N35" s="320">
        <f>SUM(N33:N34)</f>
        <v>259000</v>
      </c>
      <c r="O35" s="264"/>
      <c r="P35" s="263"/>
      <c r="Q35" s="253"/>
      <c r="R35" s="84"/>
    </row>
    <row r="36" spans="1:17" ht="15.75">
      <c r="A36" s="407" t="s">
        <v>67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252"/>
      <c r="P36" s="252"/>
      <c r="Q36" s="253"/>
    </row>
    <row r="37" spans="1:19" ht="15.75">
      <c r="A37" s="310" t="s">
        <v>326</v>
      </c>
      <c r="B37" s="311">
        <v>85</v>
      </c>
      <c r="C37" s="311">
        <f>B37*31</f>
        <v>2635</v>
      </c>
      <c r="D37" s="311">
        <v>1000</v>
      </c>
      <c r="E37" s="311">
        <v>150</v>
      </c>
      <c r="F37" s="311">
        <v>130000</v>
      </c>
      <c r="G37" s="311">
        <v>8200</v>
      </c>
      <c r="H37" s="312">
        <f>+D37/C37</f>
        <v>0.3795066413662239</v>
      </c>
      <c r="I37" s="312">
        <f>+(C37-E37)/C37</f>
        <v>0.9430740037950665</v>
      </c>
      <c r="J37" s="313">
        <f>+G37/D37</f>
        <v>8.2</v>
      </c>
      <c r="K37" s="311">
        <f>+F37/D37</f>
        <v>130</v>
      </c>
      <c r="L37" s="314">
        <v>920000</v>
      </c>
      <c r="M37" s="314">
        <v>656000</v>
      </c>
      <c r="N37" s="314">
        <f>L37-M37</f>
        <v>264000</v>
      </c>
      <c r="O37" s="40"/>
      <c r="P37" s="9"/>
      <c r="S37" s="84"/>
    </row>
    <row r="38" spans="1:19" ht="15.75">
      <c r="A38" s="310" t="s">
        <v>283</v>
      </c>
      <c r="B38" s="311"/>
      <c r="C38" s="311"/>
      <c r="D38" s="311"/>
      <c r="E38" s="311"/>
      <c r="F38" s="311"/>
      <c r="G38" s="311"/>
      <c r="H38" s="312"/>
      <c r="I38" s="312"/>
      <c r="J38" s="313"/>
      <c r="K38" s="311"/>
      <c r="L38" s="314">
        <v>0</v>
      </c>
      <c r="M38" s="314">
        <f>L38/L39*M39</f>
        <v>0</v>
      </c>
      <c r="N38" s="314">
        <f>+L38-M38</f>
        <v>0</v>
      </c>
      <c r="O38" s="40"/>
      <c r="P38" s="9"/>
      <c r="S38" s="84"/>
    </row>
    <row r="39" spans="1:16" ht="15.75">
      <c r="A39" s="315" t="s">
        <v>187</v>
      </c>
      <c r="B39" s="316">
        <f>B37</f>
        <v>85</v>
      </c>
      <c r="C39" s="316">
        <f>B39*31</f>
        <v>2635</v>
      </c>
      <c r="D39" s="316">
        <f>D37</f>
        <v>1000</v>
      </c>
      <c r="E39" s="316">
        <v>110</v>
      </c>
      <c r="F39" s="316">
        <f>F37</f>
        <v>130000</v>
      </c>
      <c r="G39" s="316">
        <f>G37</f>
        <v>8200</v>
      </c>
      <c r="H39" s="317">
        <f>+D39/C39</f>
        <v>0.3795066413662239</v>
      </c>
      <c r="I39" s="317">
        <f>I37</f>
        <v>0.9430740037950665</v>
      </c>
      <c r="J39" s="318">
        <f>+G39/D39</f>
        <v>8.2</v>
      </c>
      <c r="K39" s="316">
        <f>+F39/D39</f>
        <v>130</v>
      </c>
      <c r="L39" s="319">
        <f>L37+L38</f>
        <v>920000</v>
      </c>
      <c r="M39" s="319">
        <v>489000</v>
      </c>
      <c r="N39" s="319">
        <f>SUM(N37:N38)</f>
        <v>264000</v>
      </c>
      <c r="O39" s="63"/>
      <c r="P39" s="63"/>
    </row>
    <row r="40" spans="1:16" ht="15.75">
      <c r="A40" s="407" t="s">
        <v>68</v>
      </c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"/>
      <c r="P40" s="40"/>
    </row>
    <row r="41" spans="1:19" ht="15.75">
      <c r="A41" s="310" t="s">
        <v>326</v>
      </c>
      <c r="B41" s="311">
        <v>85</v>
      </c>
      <c r="C41" s="311">
        <f>B41*30</f>
        <v>2550</v>
      </c>
      <c r="D41" s="311">
        <v>900</v>
      </c>
      <c r="E41" s="311">
        <v>150</v>
      </c>
      <c r="F41" s="311">
        <v>120000</v>
      </c>
      <c r="G41" s="311">
        <v>8000</v>
      </c>
      <c r="H41" s="312">
        <f>+D41/C41</f>
        <v>0.35294117647058826</v>
      </c>
      <c r="I41" s="312">
        <f>+(C41-E41)/C41</f>
        <v>0.9411764705882353</v>
      </c>
      <c r="J41" s="313">
        <f>+G41/D41</f>
        <v>8.88888888888889</v>
      </c>
      <c r="K41" s="311">
        <f>+F41/D41</f>
        <v>133.33333333333334</v>
      </c>
      <c r="L41" s="314">
        <v>915000</v>
      </c>
      <c r="M41" s="314">
        <v>656000</v>
      </c>
      <c r="N41" s="314">
        <f>L41-M41</f>
        <v>259000</v>
      </c>
      <c r="O41" s="40"/>
      <c r="P41" s="9"/>
      <c r="R41" s="84"/>
      <c r="S41" s="84"/>
    </row>
    <row r="42" spans="1:19" ht="15.75">
      <c r="A42" s="310" t="s">
        <v>283</v>
      </c>
      <c r="B42" s="311"/>
      <c r="C42" s="311"/>
      <c r="D42" s="311"/>
      <c r="E42" s="311"/>
      <c r="F42" s="311"/>
      <c r="G42" s="311"/>
      <c r="H42" s="312"/>
      <c r="I42" s="312"/>
      <c r="J42" s="313"/>
      <c r="K42" s="311"/>
      <c r="L42" s="314">
        <v>0</v>
      </c>
      <c r="M42" s="314">
        <f>L42/L43*M43</f>
        <v>0</v>
      </c>
      <c r="N42" s="314">
        <f>+L42-M42</f>
        <v>0</v>
      </c>
      <c r="O42" s="40"/>
      <c r="P42" s="9"/>
      <c r="R42" s="84"/>
      <c r="S42" s="84"/>
    </row>
    <row r="43" spans="1:16" ht="15.75">
      <c r="A43" s="315" t="s">
        <v>187</v>
      </c>
      <c r="B43" s="311">
        <f>B41</f>
        <v>85</v>
      </c>
      <c r="C43" s="316">
        <f>B43*30</f>
        <v>2550</v>
      </c>
      <c r="D43" s="316">
        <f>D41</f>
        <v>900</v>
      </c>
      <c r="E43" s="316">
        <f aca="true" t="shared" si="5" ref="E43:K43">E41</f>
        <v>150</v>
      </c>
      <c r="F43" s="316">
        <f t="shared" si="5"/>
        <v>120000</v>
      </c>
      <c r="G43" s="316">
        <f t="shared" si="5"/>
        <v>8000</v>
      </c>
      <c r="H43" s="317">
        <f t="shared" si="5"/>
        <v>0.35294117647058826</v>
      </c>
      <c r="I43" s="317">
        <f t="shared" si="5"/>
        <v>0.9411764705882353</v>
      </c>
      <c r="J43" s="318">
        <f t="shared" si="5"/>
        <v>8.88888888888889</v>
      </c>
      <c r="K43" s="316">
        <f t="shared" si="5"/>
        <v>133.33333333333334</v>
      </c>
      <c r="L43" s="319">
        <f>L41+L42</f>
        <v>915000</v>
      </c>
      <c r="M43" s="319">
        <v>490000</v>
      </c>
      <c r="N43" s="319">
        <f>SUM(N41:N42)</f>
        <v>259000</v>
      </c>
      <c r="O43" s="63"/>
      <c r="P43" s="40"/>
    </row>
    <row r="44" spans="1:16" ht="15.75">
      <c r="A44" s="408" t="s">
        <v>69</v>
      </c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10"/>
      <c r="O44" s="63"/>
      <c r="P44" s="40"/>
    </row>
    <row r="45" spans="1:19" ht="15.75">
      <c r="A45" s="310" t="s">
        <v>326</v>
      </c>
      <c r="B45" s="311">
        <f>+(B33+B37+B41)/3</f>
        <v>85</v>
      </c>
      <c r="C45" s="311">
        <f>C33+C37+C41</f>
        <v>7735</v>
      </c>
      <c r="D45" s="311">
        <f>D33+D37+D41</f>
        <v>2800</v>
      </c>
      <c r="E45" s="311">
        <f>E33+E37+E41</f>
        <v>450</v>
      </c>
      <c r="F45" s="311">
        <f>F33+F37+F41</f>
        <v>370000</v>
      </c>
      <c r="G45" s="311">
        <f>G33+G37+G41</f>
        <v>24200</v>
      </c>
      <c r="H45" s="312">
        <f>+D45/C45</f>
        <v>0.36199095022624433</v>
      </c>
      <c r="I45" s="312">
        <f>+(C45-E45)/C45</f>
        <v>0.9418228829993536</v>
      </c>
      <c r="J45" s="313">
        <f>+G45/D45</f>
        <v>8.642857142857142</v>
      </c>
      <c r="K45" s="311">
        <f>+F45/D45</f>
        <v>132.14285714285714</v>
      </c>
      <c r="L45" s="327">
        <f>+L33+L37+L41</f>
        <v>2750000</v>
      </c>
      <c r="M45" s="314">
        <f>M33+M37+M41</f>
        <v>1968000</v>
      </c>
      <c r="N45" s="314">
        <f>N33+N37+N41</f>
        <v>782000</v>
      </c>
      <c r="O45" s="63"/>
      <c r="P45" s="9"/>
      <c r="S45" s="84"/>
    </row>
    <row r="46" spans="1:19" ht="15.75">
      <c r="A46" s="310" t="s">
        <v>283</v>
      </c>
      <c r="B46" s="311"/>
      <c r="C46" s="311"/>
      <c r="D46" s="311"/>
      <c r="E46" s="311"/>
      <c r="F46" s="311"/>
      <c r="G46" s="311"/>
      <c r="H46" s="312"/>
      <c r="I46" s="312"/>
      <c r="J46" s="313"/>
      <c r="K46" s="311"/>
      <c r="L46" s="327">
        <f>L34+L38+L42</f>
        <v>0</v>
      </c>
      <c r="M46" s="314">
        <f>M34+M38+M42</f>
        <v>0</v>
      </c>
      <c r="N46" s="314">
        <f>N34+N38+N42</f>
        <v>0</v>
      </c>
      <c r="O46" s="63"/>
      <c r="P46" s="9"/>
      <c r="Q46" s="64"/>
      <c r="S46" s="84"/>
    </row>
    <row r="47" spans="1:20" ht="15.75">
      <c r="A47" s="315" t="s">
        <v>187</v>
      </c>
      <c r="B47" s="316">
        <f>+(B35+B39+B43)/3</f>
        <v>85</v>
      </c>
      <c r="C47" s="316">
        <f>C35+C39+C43</f>
        <v>7735</v>
      </c>
      <c r="D47" s="316">
        <f>D45</f>
        <v>2800</v>
      </c>
      <c r="E47" s="316">
        <f>E45</f>
        <v>450</v>
      </c>
      <c r="F47" s="316">
        <f>F45</f>
        <v>370000</v>
      </c>
      <c r="G47" s="316">
        <f>G45</f>
        <v>24200</v>
      </c>
      <c r="H47" s="317">
        <f>+D47/C47</f>
        <v>0.36199095022624433</v>
      </c>
      <c r="I47" s="317">
        <f>+(C47-E47)/C47</f>
        <v>0.9418228829993536</v>
      </c>
      <c r="J47" s="318">
        <f>+G47/D47</f>
        <v>8.642857142857142</v>
      </c>
      <c r="K47" s="316">
        <f>+F47/D47</f>
        <v>132.14285714285714</v>
      </c>
      <c r="L47" s="319">
        <f>L45+L46</f>
        <v>2750000</v>
      </c>
      <c r="M47" s="319">
        <f>SUM(M45:M46)</f>
        <v>1968000</v>
      </c>
      <c r="N47" s="319">
        <f>SUM(N45:N46)</f>
        <v>782000</v>
      </c>
      <c r="O47" s="63"/>
      <c r="P47" s="40"/>
      <c r="S47" s="84"/>
      <c r="T47" s="84"/>
    </row>
    <row r="48" spans="1:16" ht="15.75">
      <c r="A48" s="407" t="s">
        <v>70</v>
      </c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"/>
      <c r="P48" s="40"/>
    </row>
    <row r="49" spans="1:16" ht="15.75">
      <c r="A49" s="310" t="s">
        <v>326</v>
      </c>
      <c r="B49" s="311">
        <v>85</v>
      </c>
      <c r="C49" s="311">
        <f>B49*31</f>
        <v>2635</v>
      </c>
      <c r="D49" s="311">
        <v>1000</v>
      </c>
      <c r="E49" s="311">
        <v>150</v>
      </c>
      <c r="F49" s="311">
        <v>130000</v>
      </c>
      <c r="G49" s="311">
        <v>8200</v>
      </c>
      <c r="H49" s="312">
        <f>+D49/C49</f>
        <v>0.3795066413662239</v>
      </c>
      <c r="I49" s="312">
        <f>+(C49-E49)/C49</f>
        <v>0.9430740037950665</v>
      </c>
      <c r="J49" s="313">
        <f>+G49/D49</f>
        <v>8.2</v>
      </c>
      <c r="K49" s="311">
        <f>+F49/D49</f>
        <v>130</v>
      </c>
      <c r="L49" s="314">
        <v>920000</v>
      </c>
      <c r="M49" s="314">
        <v>667000</v>
      </c>
      <c r="N49" s="314">
        <f>L49-M49</f>
        <v>253000</v>
      </c>
      <c r="O49" s="40"/>
      <c r="P49" s="96"/>
    </row>
    <row r="50" spans="1:16" ht="15.75">
      <c r="A50" s="310" t="s">
        <v>283</v>
      </c>
      <c r="B50" s="311"/>
      <c r="C50" s="311"/>
      <c r="D50" s="311"/>
      <c r="E50" s="311"/>
      <c r="F50" s="311"/>
      <c r="G50" s="311"/>
      <c r="H50" s="312"/>
      <c r="I50" s="312"/>
      <c r="J50" s="313"/>
      <c r="K50" s="311"/>
      <c r="L50" s="314">
        <v>0</v>
      </c>
      <c r="M50" s="314">
        <f>L50/L51*M51</f>
        <v>0</v>
      </c>
      <c r="N50" s="314">
        <f>+L50-M50</f>
        <v>0</v>
      </c>
      <c r="O50" s="40"/>
      <c r="P50" s="96"/>
    </row>
    <row r="51" spans="1:16" ht="15.75">
      <c r="A51" s="315" t="s">
        <v>187</v>
      </c>
      <c r="B51" s="316">
        <f>B49</f>
        <v>85</v>
      </c>
      <c r="C51" s="316">
        <f>B51*31</f>
        <v>2635</v>
      </c>
      <c r="D51" s="316">
        <f>D49</f>
        <v>1000</v>
      </c>
      <c r="E51" s="316">
        <f>E49</f>
        <v>150</v>
      </c>
      <c r="F51" s="316">
        <f>F49</f>
        <v>130000</v>
      </c>
      <c r="G51" s="316">
        <f>G49</f>
        <v>8200</v>
      </c>
      <c r="H51" s="317">
        <f>+D51/C51</f>
        <v>0.3795066413662239</v>
      </c>
      <c r="I51" s="317">
        <f>+(C51-E51)/C51</f>
        <v>0.9430740037950665</v>
      </c>
      <c r="J51" s="318">
        <f>+G51/D51</f>
        <v>8.2</v>
      </c>
      <c r="K51" s="316">
        <f>+F51/D51</f>
        <v>130</v>
      </c>
      <c r="L51" s="319">
        <f>SUM(L49:L50)</f>
        <v>920000</v>
      </c>
      <c r="M51" s="319">
        <v>492000</v>
      </c>
      <c r="N51" s="319">
        <f>SUM(N49:N50)</f>
        <v>253000</v>
      </c>
      <c r="O51" s="63"/>
      <c r="P51" s="9"/>
    </row>
    <row r="52" spans="1:16" ht="15.75">
      <c r="A52" s="407" t="s">
        <v>71</v>
      </c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"/>
      <c r="P52" s="40"/>
    </row>
    <row r="53" spans="1:17" ht="15.75">
      <c r="A53" s="310" t="s">
        <v>326</v>
      </c>
      <c r="B53" s="311">
        <v>85</v>
      </c>
      <c r="C53" s="311">
        <f>B53*31</f>
        <v>2635</v>
      </c>
      <c r="D53" s="311">
        <v>1000</v>
      </c>
      <c r="E53" s="311">
        <v>150</v>
      </c>
      <c r="F53" s="311">
        <v>130000</v>
      </c>
      <c r="G53" s="311">
        <v>8200</v>
      </c>
      <c r="H53" s="312">
        <f>+D53/C53</f>
        <v>0.3795066413662239</v>
      </c>
      <c r="I53" s="312">
        <f>+(C53-E53)/C53</f>
        <v>0.9430740037950665</v>
      </c>
      <c r="J53" s="313">
        <f>+G53/D53</f>
        <v>8.2</v>
      </c>
      <c r="K53" s="311">
        <f>+F53/D53</f>
        <v>130</v>
      </c>
      <c r="L53" s="314">
        <v>920000</v>
      </c>
      <c r="M53" s="314">
        <v>667000</v>
      </c>
      <c r="N53" s="314">
        <f>L53-M53</f>
        <v>253000</v>
      </c>
      <c r="O53" s="40"/>
      <c r="P53" s="9"/>
      <c r="Q53" s="64"/>
    </row>
    <row r="54" spans="1:16" ht="15.75">
      <c r="A54" s="310" t="s">
        <v>283</v>
      </c>
      <c r="B54" s="311"/>
      <c r="C54" s="311"/>
      <c r="D54" s="311"/>
      <c r="E54" s="311"/>
      <c r="F54" s="311"/>
      <c r="G54" s="311"/>
      <c r="H54" s="312"/>
      <c r="I54" s="312"/>
      <c r="J54" s="313"/>
      <c r="K54" s="311"/>
      <c r="L54" s="314">
        <v>0</v>
      </c>
      <c r="M54" s="314">
        <f>L54/L55*M55</f>
        <v>0</v>
      </c>
      <c r="N54" s="314">
        <f>+L54-M54</f>
        <v>0</v>
      </c>
      <c r="O54" s="40"/>
      <c r="P54" s="9"/>
    </row>
    <row r="55" spans="1:16" ht="15.75">
      <c r="A55" s="315" t="s">
        <v>187</v>
      </c>
      <c r="B55" s="316">
        <f aca="true" t="shared" si="6" ref="B55:G55">B53</f>
        <v>85</v>
      </c>
      <c r="C55" s="316">
        <f t="shared" si="6"/>
        <v>2635</v>
      </c>
      <c r="D55" s="316">
        <f t="shared" si="6"/>
        <v>1000</v>
      </c>
      <c r="E55" s="316">
        <f t="shared" si="6"/>
        <v>150</v>
      </c>
      <c r="F55" s="316">
        <f t="shared" si="6"/>
        <v>130000</v>
      </c>
      <c r="G55" s="316">
        <f t="shared" si="6"/>
        <v>8200</v>
      </c>
      <c r="H55" s="317">
        <f>+D55/C55</f>
        <v>0.3795066413662239</v>
      </c>
      <c r="I55" s="317">
        <f>+(C55-E55)/C55</f>
        <v>0.9430740037950665</v>
      </c>
      <c r="J55" s="318">
        <f>+G55/D55</f>
        <v>8.2</v>
      </c>
      <c r="K55" s="316">
        <f>+F55/D55</f>
        <v>130</v>
      </c>
      <c r="L55" s="319">
        <f>SUM(L53:L54)</f>
        <v>920000</v>
      </c>
      <c r="M55" s="319">
        <v>492000</v>
      </c>
      <c r="N55" s="319">
        <f>SUM(N53:N54)</f>
        <v>253000</v>
      </c>
      <c r="O55" s="63"/>
      <c r="P55" s="40"/>
    </row>
    <row r="56" spans="1:17" ht="15.75">
      <c r="A56" s="407" t="s">
        <v>72</v>
      </c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"/>
      <c r="P56" s="40"/>
      <c r="Q56" s="64"/>
    </row>
    <row r="57" spans="1:16" ht="15.75">
      <c r="A57" s="310" t="s">
        <v>326</v>
      </c>
      <c r="B57" s="311">
        <v>85</v>
      </c>
      <c r="C57" s="311">
        <f>B57*30</f>
        <v>2550</v>
      </c>
      <c r="D57" s="311">
        <v>900</v>
      </c>
      <c r="E57" s="311">
        <v>150</v>
      </c>
      <c r="F57" s="311">
        <v>120000</v>
      </c>
      <c r="G57" s="311">
        <v>8000</v>
      </c>
      <c r="H57" s="312">
        <f>+D57/C57</f>
        <v>0.35294117647058826</v>
      </c>
      <c r="I57" s="312">
        <f>+(C57-E57)/C57</f>
        <v>0.9411764705882353</v>
      </c>
      <c r="J57" s="313">
        <f>+G57/D57</f>
        <v>8.88888888888889</v>
      </c>
      <c r="K57" s="311">
        <f>+F57/D57</f>
        <v>133.33333333333334</v>
      </c>
      <c r="L57" s="314">
        <v>910000</v>
      </c>
      <c r="M57" s="314">
        <v>654000</v>
      </c>
      <c r="N57" s="314">
        <f>L57-M57</f>
        <v>256000</v>
      </c>
      <c r="O57" s="40"/>
      <c r="P57" s="9"/>
    </row>
    <row r="58" spans="1:16" ht="15.75">
      <c r="A58" s="310" t="s">
        <v>283</v>
      </c>
      <c r="B58" s="311"/>
      <c r="C58" s="311"/>
      <c r="D58" s="311"/>
      <c r="E58" s="311"/>
      <c r="F58" s="311"/>
      <c r="G58" s="311"/>
      <c r="H58" s="312"/>
      <c r="I58" s="312"/>
      <c r="J58" s="313"/>
      <c r="K58" s="311"/>
      <c r="L58" s="314">
        <v>0</v>
      </c>
      <c r="M58" s="314">
        <f>L58/L59*M59</f>
        <v>0</v>
      </c>
      <c r="N58" s="314">
        <f>+L58-M58</f>
        <v>0</v>
      </c>
      <c r="O58" s="40"/>
      <c r="P58" s="9"/>
    </row>
    <row r="59" spans="1:16" ht="17.25" customHeight="1">
      <c r="A59" s="315" t="s">
        <v>187</v>
      </c>
      <c r="B59" s="316">
        <f>B57</f>
        <v>85</v>
      </c>
      <c r="C59" s="316">
        <f>B59*30</f>
        <v>2550</v>
      </c>
      <c r="D59" s="316">
        <f>D57</f>
        <v>900</v>
      </c>
      <c r="E59" s="316">
        <f>E57</f>
        <v>150</v>
      </c>
      <c r="F59" s="316">
        <f>F57</f>
        <v>120000</v>
      </c>
      <c r="G59" s="316">
        <f>G57</f>
        <v>8000</v>
      </c>
      <c r="H59" s="317">
        <f>+D59/C59</f>
        <v>0.35294117647058826</v>
      </c>
      <c r="I59" s="317">
        <f>+(C59-E59)/C59</f>
        <v>0.9411764705882353</v>
      </c>
      <c r="J59" s="318">
        <f>+G59/D59</f>
        <v>8.88888888888889</v>
      </c>
      <c r="K59" s="316">
        <f>+F59/D59</f>
        <v>133.33333333333334</v>
      </c>
      <c r="L59" s="319">
        <f>SUM(L57:L58)</f>
        <v>910000</v>
      </c>
      <c r="M59" s="319">
        <v>493000</v>
      </c>
      <c r="N59" s="319">
        <f>SUM(N57:N58)</f>
        <v>256000</v>
      </c>
      <c r="O59" s="63"/>
      <c r="P59" s="40"/>
    </row>
    <row r="60" spans="1:16" ht="15.75">
      <c r="A60" s="407" t="s">
        <v>73</v>
      </c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"/>
      <c r="P60" s="40"/>
    </row>
    <row r="61" spans="1:17" ht="15.75">
      <c r="A61" s="310" t="s">
        <v>326</v>
      </c>
      <c r="B61" s="311">
        <f>+(B49+B53+B57)/3</f>
        <v>85</v>
      </c>
      <c r="C61" s="311">
        <f>C49+C53+C57</f>
        <v>7820</v>
      </c>
      <c r="D61" s="311">
        <f>D49+D53+D57</f>
        <v>2900</v>
      </c>
      <c r="E61" s="311">
        <f>E49+E53+E57</f>
        <v>450</v>
      </c>
      <c r="F61" s="311">
        <f>F49+F53+F57</f>
        <v>380000</v>
      </c>
      <c r="G61" s="311">
        <f>G49+G53+G57</f>
        <v>24400</v>
      </c>
      <c r="H61" s="312">
        <f>+D61/C61</f>
        <v>0.37084398976982097</v>
      </c>
      <c r="I61" s="312">
        <f>+(I49+I53+I57)/3</f>
        <v>0.9424414927261227</v>
      </c>
      <c r="J61" s="313">
        <f>+G61/D61</f>
        <v>8.413793103448276</v>
      </c>
      <c r="K61" s="311">
        <f>+F61/D61</f>
        <v>131.0344827586207</v>
      </c>
      <c r="L61" s="327">
        <f>+L49+L53+L57</f>
        <v>2750000</v>
      </c>
      <c r="M61" s="327">
        <f>+M49+M53+M57</f>
        <v>1988000</v>
      </c>
      <c r="N61" s="327">
        <f>+N49+N53+N57</f>
        <v>762000</v>
      </c>
      <c r="O61" s="85"/>
      <c r="P61" s="9"/>
      <c r="Q61" s="64"/>
    </row>
    <row r="62" spans="1:17" ht="15.75">
      <c r="A62" s="310" t="s">
        <v>283</v>
      </c>
      <c r="B62" s="311"/>
      <c r="C62" s="311"/>
      <c r="D62" s="311"/>
      <c r="E62" s="311"/>
      <c r="F62" s="311"/>
      <c r="G62" s="311"/>
      <c r="H62" s="312"/>
      <c r="I62" s="312"/>
      <c r="J62" s="313"/>
      <c r="K62" s="311"/>
      <c r="L62" s="327">
        <f>L50+L54+L58</f>
        <v>0</v>
      </c>
      <c r="M62" s="314">
        <f>M50+M54+M58</f>
        <v>0</v>
      </c>
      <c r="N62" s="314">
        <f>N50+N54+N58</f>
        <v>0</v>
      </c>
      <c r="O62" s="85"/>
      <c r="P62" s="9"/>
      <c r="Q62" s="64"/>
    </row>
    <row r="63" spans="1:16" ht="15.75">
      <c r="A63" s="315" t="s">
        <v>187</v>
      </c>
      <c r="B63" s="316">
        <f>+(B51+B55+B59)/3</f>
        <v>85</v>
      </c>
      <c r="C63" s="316">
        <f>C51+C55+C59</f>
        <v>7820</v>
      </c>
      <c r="D63" s="316">
        <f>D51+D55+D59</f>
        <v>2900</v>
      </c>
      <c r="E63" s="316">
        <f>E51+E55+E59</f>
        <v>450</v>
      </c>
      <c r="F63" s="316">
        <f>F51+F55+F59</f>
        <v>380000</v>
      </c>
      <c r="G63" s="316">
        <f>G51+G55+G59</f>
        <v>24400</v>
      </c>
      <c r="H63" s="317">
        <f>+D63/C63</f>
        <v>0.37084398976982097</v>
      </c>
      <c r="I63" s="317">
        <f>+(I51+I55+I59)/3</f>
        <v>0.9424414927261227</v>
      </c>
      <c r="J63" s="318">
        <f>+G63/D63</f>
        <v>8.413793103448276</v>
      </c>
      <c r="K63" s="316">
        <f>+F63/D63</f>
        <v>131.0344827586207</v>
      </c>
      <c r="L63" s="319">
        <f>SUM(L61:L62)</f>
        <v>2750000</v>
      </c>
      <c r="M63" s="319">
        <f>SUM(M61:M62)</f>
        <v>1988000</v>
      </c>
      <c r="N63" s="319">
        <f>SUM(N61:N62)</f>
        <v>762000</v>
      </c>
      <c r="O63" s="40"/>
      <c r="P63" s="40"/>
    </row>
    <row r="64" spans="1:16" ht="15">
      <c r="A64" s="328"/>
      <c r="B64" s="322"/>
      <c r="C64" s="322"/>
      <c r="D64" s="322"/>
      <c r="E64" s="322"/>
      <c r="F64" s="322"/>
      <c r="G64" s="322"/>
      <c r="H64" s="323"/>
      <c r="I64" s="323"/>
      <c r="J64" s="324"/>
      <c r="K64" s="322"/>
      <c r="L64" s="325"/>
      <c r="M64" s="325"/>
      <c r="N64" s="325"/>
      <c r="O64" s="40"/>
      <c r="P64" s="40"/>
    </row>
    <row r="65" spans="1:16" ht="20.25">
      <c r="A65" s="326">
        <v>18</v>
      </c>
      <c r="B65" s="322"/>
      <c r="C65" s="322"/>
      <c r="D65" s="322"/>
      <c r="E65" s="322"/>
      <c r="F65" s="322"/>
      <c r="G65" s="329"/>
      <c r="H65" s="323"/>
      <c r="I65" s="323"/>
      <c r="J65" s="324"/>
      <c r="K65" s="322"/>
      <c r="L65" s="325"/>
      <c r="M65" s="325"/>
      <c r="N65" s="325"/>
      <c r="O65" s="40"/>
      <c r="P65" s="40"/>
    </row>
    <row r="66" spans="1:16" ht="15.75">
      <c r="A66" s="412" t="s">
        <v>74</v>
      </c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0"/>
      <c r="P66" s="40"/>
    </row>
    <row r="67" spans="1:16" ht="15.75">
      <c r="A67" s="310" t="s">
        <v>326</v>
      </c>
      <c r="B67" s="311">
        <v>85</v>
      </c>
      <c r="C67" s="311">
        <f>B67*31</f>
        <v>2635</v>
      </c>
      <c r="D67" s="311">
        <v>1000</v>
      </c>
      <c r="E67" s="311">
        <v>170</v>
      </c>
      <c r="F67" s="311">
        <v>130000</v>
      </c>
      <c r="G67" s="311">
        <v>8200</v>
      </c>
      <c r="H67" s="312">
        <f>+D67/C67</f>
        <v>0.3795066413662239</v>
      </c>
      <c r="I67" s="312">
        <f>+(C67-E67)/C67</f>
        <v>0.9354838709677419</v>
      </c>
      <c r="J67" s="313">
        <f>+G67/D67</f>
        <v>8.2</v>
      </c>
      <c r="K67" s="311">
        <f>+F67/D67</f>
        <v>130</v>
      </c>
      <c r="L67" s="314">
        <v>920000</v>
      </c>
      <c r="M67" s="314">
        <v>656000</v>
      </c>
      <c r="N67" s="314">
        <f>L67-M67</f>
        <v>264000</v>
      </c>
      <c r="O67" s="40"/>
      <c r="P67" s="9"/>
    </row>
    <row r="68" spans="1:16" ht="15.75">
      <c r="A68" s="310" t="s">
        <v>283</v>
      </c>
      <c r="B68" s="311"/>
      <c r="C68" s="311"/>
      <c r="D68" s="311"/>
      <c r="E68" s="311"/>
      <c r="F68" s="311"/>
      <c r="G68" s="311"/>
      <c r="H68" s="312"/>
      <c r="I68" s="312"/>
      <c r="J68" s="313"/>
      <c r="K68" s="311"/>
      <c r="L68" s="314">
        <v>0</v>
      </c>
      <c r="M68" s="314">
        <f>L68/L69*M69</f>
        <v>0</v>
      </c>
      <c r="N68" s="314">
        <f>+L68-M68</f>
        <v>0</v>
      </c>
      <c r="O68" s="40"/>
      <c r="P68" s="9"/>
    </row>
    <row r="69" spans="1:16" ht="15.75">
      <c r="A69" s="315" t="s">
        <v>187</v>
      </c>
      <c r="B69" s="316">
        <f>B67</f>
        <v>85</v>
      </c>
      <c r="C69" s="316">
        <f>B69*31</f>
        <v>2635</v>
      </c>
      <c r="D69" s="316">
        <f>D67</f>
        <v>1000</v>
      </c>
      <c r="E69" s="316">
        <f>E67</f>
        <v>170</v>
      </c>
      <c r="F69" s="316">
        <f>F67</f>
        <v>130000</v>
      </c>
      <c r="G69" s="316">
        <f>G67</f>
        <v>8200</v>
      </c>
      <c r="H69" s="317">
        <f>+D69/C69</f>
        <v>0.3795066413662239</v>
      </c>
      <c r="I69" s="317">
        <f>SUM(I67:I67)</f>
        <v>0.9354838709677419</v>
      </c>
      <c r="J69" s="318">
        <f>+G69/D69</f>
        <v>8.2</v>
      </c>
      <c r="K69" s="316">
        <f>+F69/D69</f>
        <v>130</v>
      </c>
      <c r="L69" s="319">
        <f>SUM(L67:L68)</f>
        <v>920000</v>
      </c>
      <c r="M69" s="319">
        <v>527250</v>
      </c>
      <c r="N69" s="319">
        <f>SUM(N67:N68)</f>
        <v>264000</v>
      </c>
      <c r="O69" s="40"/>
      <c r="P69" s="9"/>
    </row>
    <row r="70" spans="1:16" ht="15.75">
      <c r="A70" s="407" t="s">
        <v>75</v>
      </c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"/>
      <c r="P70" s="40"/>
    </row>
    <row r="71" spans="1:16" ht="15.75">
      <c r="A71" s="310" t="s">
        <v>326</v>
      </c>
      <c r="B71" s="311">
        <v>85</v>
      </c>
      <c r="C71" s="311">
        <f>B71*30</f>
        <v>2550</v>
      </c>
      <c r="D71" s="311">
        <v>900</v>
      </c>
      <c r="E71" s="311">
        <v>170</v>
      </c>
      <c r="F71" s="311">
        <v>120000</v>
      </c>
      <c r="G71" s="311">
        <v>8000</v>
      </c>
      <c r="H71" s="312">
        <f>+D71/C71</f>
        <v>0.35294117647058826</v>
      </c>
      <c r="I71" s="312">
        <f>+(C71-E71)/C71</f>
        <v>0.9333333333333333</v>
      </c>
      <c r="J71" s="313">
        <f>+G71/D71</f>
        <v>8.88888888888889</v>
      </c>
      <c r="K71" s="311">
        <f>+F71/D71</f>
        <v>133.33333333333334</v>
      </c>
      <c r="L71" s="314">
        <v>910000</v>
      </c>
      <c r="M71" s="314">
        <v>656000</v>
      </c>
      <c r="N71" s="314">
        <f>L71-M71</f>
        <v>254000</v>
      </c>
      <c r="O71" s="40"/>
      <c r="P71" s="9"/>
    </row>
    <row r="72" spans="1:16" ht="15.75">
      <c r="A72" s="310" t="s">
        <v>283</v>
      </c>
      <c r="B72" s="311"/>
      <c r="C72" s="311"/>
      <c r="D72" s="311"/>
      <c r="E72" s="311"/>
      <c r="F72" s="311"/>
      <c r="G72" s="311"/>
      <c r="H72" s="312"/>
      <c r="I72" s="312"/>
      <c r="J72" s="313"/>
      <c r="K72" s="311"/>
      <c r="L72" s="314">
        <v>0</v>
      </c>
      <c r="M72" s="314">
        <f>L72/L73*M73</f>
        <v>0</v>
      </c>
      <c r="N72" s="314">
        <f>+L72-M72</f>
        <v>0</v>
      </c>
      <c r="O72" s="40"/>
      <c r="P72" s="9"/>
    </row>
    <row r="73" spans="1:16" ht="15.75">
      <c r="A73" s="315" t="s">
        <v>187</v>
      </c>
      <c r="B73" s="316">
        <f>B71</f>
        <v>85</v>
      </c>
      <c r="C73" s="316">
        <f>B73*30</f>
        <v>2550</v>
      </c>
      <c r="D73" s="316">
        <f>D71</f>
        <v>900</v>
      </c>
      <c r="E73" s="316">
        <f>E71</f>
        <v>170</v>
      </c>
      <c r="F73" s="316">
        <f>F71</f>
        <v>120000</v>
      </c>
      <c r="G73" s="316">
        <f>G71</f>
        <v>8000</v>
      </c>
      <c r="H73" s="317">
        <f>+D73/C73</f>
        <v>0.35294117647058826</v>
      </c>
      <c r="I73" s="317">
        <f>SUM(I71:I71)</f>
        <v>0.9333333333333333</v>
      </c>
      <c r="J73" s="318">
        <f>+G73/D73</f>
        <v>8.88888888888889</v>
      </c>
      <c r="K73" s="316">
        <f>+F73/D73</f>
        <v>133.33333333333334</v>
      </c>
      <c r="L73" s="319">
        <f>SUM(L71:L72)</f>
        <v>910000</v>
      </c>
      <c r="M73" s="319">
        <v>527250</v>
      </c>
      <c r="N73" s="319">
        <f>SUM(N71:N72)</f>
        <v>254000</v>
      </c>
      <c r="O73" s="40"/>
      <c r="P73" s="40"/>
    </row>
    <row r="74" spans="1:16" ht="15.75">
      <c r="A74" s="407" t="s">
        <v>76</v>
      </c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"/>
      <c r="P74" s="63"/>
    </row>
    <row r="75" spans="1:16" ht="15.75">
      <c r="A75" s="310" t="s">
        <v>326</v>
      </c>
      <c r="B75" s="311">
        <v>85</v>
      </c>
      <c r="C75" s="311">
        <f>B75*31</f>
        <v>2635</v>
      </c>
      <c r="D75" s="311">
        <v>1000</v>
      </c>
      <c r="E75" s="311">
        <v>170</v>
      </c>
      <c r="F75" s="311">
        <v>130000</v>
      </c>
      <c r="G75" s="311">
        <v>8200</v>
      </c>
      <c r="H75" s="312">
        <f>+D75/C75</f>
        <v>0.3795066413662239</v>
      </c>
      <c r="I75" s="312">
        <f>+(C75-E75)/C75</f>
        <v>0.9354838709677419</v>
      </c>
      <c r="J75" s="313">
        <f>+G75/D75</f>
        <v>8.2</v>
      </c>
      <c r="K75" s="311">
        <f>+F75/D75</f>
        <v>130</v>
      </c>
      <c r="L75" s="314">
        <v>920000</v>
      </c>
      <c r="M75" s="314">
        <v>656000</v>
      </c>
      <c r="N75" s="314">
        <f>L75-M75</f>
        <v>264000</v>
      </c>
      <c r="O75" s="40"/>
      <c r="P75" s="9"/>
    </row>
    <row r="76" spans="1:16" ht="15.75">
      <c r="A76" s="310" t="s">
        <v>283</v>
      </c>
      <c r="B76" s="311"/>
      <c r="C76" s="311"/>
      <c r="D76" s="311"/>
      <c r="E76" s="311"/>
      <c r="F76" s="311"/>
      <c r="G76" s="311"/>
      <c r="H76" s="312"/>
      <c r="I76" s="312"/>
      <c r="J76" s="313"/>
      <c r="K76" s="311"/>
      <c r="L76" s="314">
        <v>0</v>
      </c>
      <c r="M76" s="314">
        <f>L76/L77*M77</f>
        <v>0</v>
      </c>
      <c r="N76" s="314">
        <f>+L76-M76</f>
        <v>0</v>
      </c>
      <c r="O76" s="40"/>
      <c r="P76" s="9"/>
    </row>
    <row r="77" spans="1:16" ht="15.75">
      <c r="A77" s="315" t="s">
        <v>187</v>
      </c>
      <c r="B77" s="316">
        <f>B75</f>
        <v>85</v>
      </c>
      <c r="C77" s="316">
        <f>B77*31</f>
        <v>2635</v>
      </c>
      <c r="D77" s="316">
        <f>D75</f>
        <v>1000</v>
      </c>
      <c r="E77" s="316">
        <f>E75</f>
        <v>170</v>
      </c>
      <c r="F77" s="316">
        <f>F75</f>
        <v>130000</v>
      </c>
      <c r="G77" s="316">
        <f>G75</f>
        <v>8200</v>
      </c>
      <c r="H77" s="317">
        <f>+D77/C77</f>
        <v>0.3795066413662239</v>
      </c>
      <c r="I77" s="317">
        <f>SUM(I75:I75)</f>
        <v>0.9354838709677419</v>
      </c>
      <c r="J77" s="318">
        <f>+G77/D77</f>
        <v>8.2</v>
      </c>
      <c r="K77" s="316">
        <f>+F77/D77</f>
        <v>130</v>
      </c>
      <c r="L77" s="319">
        <f>SUM(L75:L76)</f>
        <v>920000</v>
      </c>
      <c r="M77" s="319">
        <v>528250</v>
      </c>
      <c r="N77" s="320">
        <f>SUM(N75:N76)</f>
        <v>264000</v>
      </c>
      <c r="O77" s="40"/>
      <c r="P77" s="40"/>
    </row>
    <row r="78" spans="1:16" ht="15.75">
      <c r="A78" s="407" t="s">
        <v>77</v>
      </c>
      <c r="B78" s="407"/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"/>
      <c r="P78" s="40"/>
    </row>
    <row r="79" spans="1:17" ht="15.75">
      <c r="A79" s="310" t="s">
        <v>326</v>
      </c>
      <c r="B79" s="311">
        <v>85</v>
      </c>
      <c r="C79" s="311">
        <f>C67+C71+C75</f>
        <v>7820</v>
      </c>
      <c r="D79" s="311">
        <f>D67+D71+D75</f>
        <v>2900</v>
      </c>
      <c r="E79" s="311">
        <f>E67+E71+E75</f>
        <v>510</v>
      </c>
      <c r="F79" s="311">
        <f>F67+F71+F75</f>
        <v>380000</v>
      </c>
      <c r="G79" s="311">
        <f>G67+G71+G75</f>
        <v>24400</v>
      </c>
      <c r="H79" s="312">
        <f>+D79/C79</f>
        <v>0.37084398976982097</v>
      </c>
      <c r="I79" s="312">
        <f>+(I63+I69+I73)/3</f>
        <v>0.9370862323423994</v>
      </c>
      <c r="J79" s="313">
        <f>+G79/D79</f>
        <v>8.413793103448276</v>
      </c>
      <c r="K79" s="311">
        <f>+F79/D79</f>
        <v>131.0344827586207</v>
      </c>
      <c r="L79" s="327">
        <f>+L67+L71+L75</f>
        <v>2750000</v>
      </c>
      <c r="M79" s="327">
        <f>+M67+M71+M75</f>
        <v>1968000</v>
      </c>
      <c r="N79" s="327">
        <f>+N67+N71+N75</f>
        <v>782000</v>
      </c>
      <c r="O79" s="40"/>
      <c r="P79" s="9"/>
      <c r="Q79" s="64"/>
    </row>
    <row r="80" spans="1:16" ht="15.75">
      <c r="A80" s="310" t="s">
        <v>283</v>
      </c>
      <c r="B80" s="311"/>
      <c r="C80" s="311"/>
      <c r="D80" s="311"/>
      <c r="E80" s="311"/>
      <c r="F80" s="311"/>
      <c r="G80" s="311"/>
      <c r="H80" s="312"/>
      <c r="I80" s="312"/>
      <c r="J80" s="313"/>
      <c r="K80" s="311"/>
      <c r="L80" s="327">
        <f>L68+L72+L76</f>
        <v>0</v>
      </c>
      <c r="M80" s="314">
        <f>M68+M72+M76</f>
        <v>0</v>
      </c>
      <c r="N80" s="314">
        <f>N68+N72+N76</f>
        <v>0</v>
      </c>
      <c r="O80" s="40"/>
      <c r="P80" s="9"/>
    </row>
    <row r="81" spans="1:16" ht="15.75">
      <c r="A81" s="315" t="s">
        <v>187</v>
      </c>
      <c r="B81" s="316">
        <f>B79</f>
        <v>85</v>
      </c>
      <c r="C81" s="316">
        <f>C69+C73+C77</f>
        <v>7820</v>
      </c>
      <c r="D81" s="316">
        <f>D69+D73+D77</f>
        <v>2900</v>
      </c>
      <c r="E81" s="316">
        <f>E69+E73+E77</f>
        <v>510</v>
      </c>
      <c r="F81" s="316">
        <f>F69+F73+F77</f>
        <v>380000</v>
      </c>
      <c r="G81" s="316">
        <f>G69+G73+G77</f>
        <v>24400</v>
      </c>
      <c r="H81" s="317">
        <f>+D81/C81</f>
        <v>0.37084398976982097</v>
      </c>
      <c r="I81" s="317">
        <f>SUM(I79:I79)</f>
        <v>0.9370862323423994</v>
      </c>
      <c r="J81" s="318">
        <f>+G81/D81</f>
        <v>8.413793103448276</v>
      </c>
      <c r="K81" s="316">
        <f>+F81/D81</f>
        <v>131.0344827586207</v>
      </c>
      <c r="L81" s="319">
        <f>SUM(L79:L80)</f>
        <v>2750000</v>
      </c>
      <c r="M81" s="319">
        <f>SUM(M79:M80)</f>
        <v>1968000</v>
      </c>
      <c r="N81" s="319">
        <f>SUM(N79:N80)</f>
        <v>782000</v>
      </c>
      <c r="O81" s="40"/>
      <c r="P81" s="40"/>
    </row>
    <row r="82" spans="1:16" ht="15.75">
      <c r="A82" s="407" t="s">
        <v>329</v>
      </c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"/>
      <c r="P82" s="40"/>
    </row>
    <row r="83" spans="1:17" ht="15">
      <c r="A83" s="310" t="s">
        <v>326</v>
      </c>
      <c r="B83" s="311">
        <v>85</v>
      </c>
      <c r="C83" s="311">
        <f>C25+C45+C61+C79</f>
        <v>31025</v>
      </c>
      <c r="D83" s="311">
        <f>D25+D45+D61+D79</f>
        <v>11400</v>
      </c>
      <c r="E83" s="311">
        <f>E25+E45+E61+E79</f>
        <v>1920</v>
      </c>
      <c r="F83" s="311">
        <f>F25+F45+F61+F79</f>
        <v>1490000</v>
      </c>
      <c r="G83" s="311">
        <f>G25+G45+G61+G79</f>
        <v>95900</v>
      </c>
      <c r="H83" s="312">
        <f>(H25+H45+H61+H79)/4</f>
        <v>0.36742300041532777</v>
      </c>
      <c r="I83" s="312">
        <f>(I25+I45+I61+I75)/4</f>
        <v>0.9382703950066379</v>
      </c>
      <c r="J83" s="313">
        <f>(J25+J45+J61+J79)/4</f>
        <v>8.412253694581281</v>
      </c>
      <c r="K83" s="311">
        <f>(K25+K45+K61+K79)/4</f>
        <v>130.6958128078818</v>
      </c>
      <c r="L83" s="327">
        <f>L25+L45+L61+L79</f>
        <v>11000000</v>
      </c>
      <c r="M83" s="327">
        <f>M25+M45+M61+M79</f>
        <v>7902000</v>
      </c>
      <c r="N83" s="327">
        <f>N25+N45+N61+N79</f>
        <v>3098000</v>
      </c>
      <c r="O83" s="65"/>
      <c r="P83" s="85"/>
      <c r="Q83" s="84"/>
    </row>
    <row r="84" spans="1:17" ht="15">
      <c r="A84" s="310" t="s">
        <v>283</v>
      </c>
      <c r="B84" s="311"/>
      <c r="C84" s="311"/>
      <c r="D84" s="311"/>
      <c r="E84" s="311"/>
      <c r="F84" s="311"/>
      <c r="G84" s="311"/>
      <c r="H84" s="312"/>
      <c r="I84" s="312"/>
      <c r="J84" s="311"/>
      <c r="K84" s="311"/>
      <c r="L84" s="314">
        <v>0</v>
      </c>
      <c r="M84" s="314">
        <f>L84/L85*M85</f>
        <v>0</v>
      </c>
      <c r="N84" s="314">
        <f>+L84-M84</f>
        <v>0</v>
      </c>
      <c r="O84" s="65"/>
      <c r="P84" s="85"/>
      <c r="Q84" s="84"/>
    </row>
    <row r="85" spans="1:17" ht="15.75">
      <c r="A85" s="315" t="s">
        <v>187</v>
      </c>
      <c r="B85" s="316">
        <f>+(B27+B47+B63+B81)/4</f>
        <v>85</v>
      </c>
      <c r="C85" s="316">
        <f>C27+C47+C63+C81</f>
        <v>31025</v>
      </c>
      <c r="D85" s="316">
        <f>D27+D47+D63+D81</f>
        <v>11400</v>
      </c>
      <c r="E85" s="316">
        <f>E27+E47+E63+E81</f>
        <v>1920</v>
      </c>
      <c r="F85" s="316">
        <f>F27+F47+F63+F81</f>
        <v>1490000</v>
      </c>
      <c r="G85" s="316">
        <f>G27+G47+G63+G81</f>
        <v>95900</v>
      </c>
      <c r="H85" s="317">
        <f>(H27+H47+H63+H81)/4</f>
        <v>0.36742300041532777</v>
      </c>
      <c r="I85" s="317">
        <f>(I27+I47+I63+I77)/4</f>
        <v>0.9382703950066379</v>
      </c>
      <c r="J85" s="318">
        <f>(J27+J47+J63+J81)/4</f>
        <v>8.412253694581281</v>
      </c>
      <c r="K85" s="316">
        <f>(K27+K47+K63+K81)/4</f>
        <v>130.6958128078818</v>
      </c>
      <c r="L85" s="319">
        <f>SUM(L83:L84)</f>
        <v>11000000</v>
      </c>
      <c r="M85" s="327">
        <f>M27+M47+M63+M81</f>
        <v>7902000</v>
      </c>
      <c r="N85" s="319">
        <f>SUM(N83:N84)</f>
        <v>3098000</v>
      </c>
      <c r="O85" s="40"/>
      <c r="P85" s="16"/>
      <c r="Q85" s="84"/>
    </row>
    <row r="86" spans="1:17" ht="17.25" customHeight="1">
      <c r="A86" s="321"/>
      <c r="B86" s="322"/>
      <c r="C86" s="322"/>
      <c r="D86" s="322"/>
      <c r="E86" s="322"/>
      <c r="F86" s="322"/>
      <c r="G86" s="324"/>
      <c r="H86" s="323"/>
      <c r="I86" s="323"/>
      <c r="J86" s="324"/>
      <c r="K86" s="322"/>
      <c r="L86" s="325"/>
      <c r="M86" s="325"/>
      <c r="N86" s="325"/>
      <c r="O86" s="40"/>
      <c r="P86" s="251"/>
      <c r="Q86" s="84"/>
    </row>
    <row r="87" spans="1:16" ht="17.25" customHeight="1">
      <c r="A87" s="321"/>
      <c r="B87" s="322"/>
      <c r="C87" s="322"/>
      <c r="D87" s="322"/>
      <c r="E87" s="322"/>
      <c r="F87" s="322"/>
      <c r="G87" s="322"/>
      <c r="H87" s="323"/>
      <c r="I87" s="323"/>
      <c r="J87" s="324"/>
      <c r="K87" s="322"/>
      <c r="L87" s="325"/>
      <c r="M87" s="325"/>
      <c r="N87" s="325"/>
      <c r="O87" s="40"/>
      <c r="P87" s="41"/>
    </row>
    <row r="88" spans="1:16" ht="18">
      <c r="A88" s="330"/>
      <c r="B88" s="330"/>
      <c r="C88" s="331"/>
      <c r="D88" s="331"/>
      <c r="E88" s="331"/>
      <c r="F88" s="331"/>
      <c r="G88" s="332"/>
      <c r="H88" s="331"/>
      <c r="I88" s="331"/>
      <c r="J88" s="331"/>
      <c r="K88" s="331"/>
      <c r="L88" s="333"/>
      <c r="M88" s="334"/>
      <c r="N88" s="334"/>
      <c r="O88" s="40"/>
      <c r="P88" s="40"/>
    </row>
    <row r="89" spans="1:16" ht="15.75">
      <c r="A89" s="309"/>
      <c r="B89" s="335"/>
      <c r="C89" s="339" t="s">
        <v>280</v>
      </c>
      <c r="D89" s="340"/>
      <c r="E89" s="340"/>
      <c r="F89" s="403"/>
      <c r="G89" s="403"/>
      <c r="H89" s="403"/>
      <c r="I89" s="405"/>
      <c r="J89" s="405"/>
      <c r="K89" s="405"/>
      <c r="L89" s="405" t="s">
        <v>320</v>
      </c>
      <c r="M89" s="405"/>
      <c r="N89" s="405"/>
      <c r="O89" s="65"/>
      <c r="P89" s="40"/>
    </row>
    <row r="90" spans="1:16" ht="12.75">
      <c r="A90" s="334"/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40"/>
      <c r="P90" s="40"/>
    </row>
    <row r="91" spans="1:16" ht="12.75">
      <c r="A91" s="334"/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40"/>
      <c r="P91" s="40"/>
    </row>
    <row r="92" spans="1:16" ht="17.25">
      <c r="A92" s="98">
        <v>19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97"/>
      <c r="O92" s="40"/>
      <c r="P92" s="40"/>
    </row>
    <row r="93" spans="1:16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40"/>
      <c r="P93" s="40"/>
    </row>
    <row r="94" spans="1:16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40"/>
      <c r="P94" s="40"/>
    </row>
    <row r="95" spans="1:16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40"/>
      <c r="P95" s="40"/>
    </row>
    <row r="96" spans="1:16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40"/>
      <c r="P96" s="40"/>
    </row>
    <row r="97" spans="1:16" ht="12.75">
      <c r="A97" s="98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40"/>
      <c r="P97" s="40"/>
    </row>
    <row r="98" spans="1:16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40"/>
      <c r="P98" s="40"/>
    </row>
    <row r="99" spans="1:16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40"/>
      <c r="P99" s="40"/>
    </row>
    <row r="100" spans="1:16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40"/>
      <c r="P100" s="40"/>
    </row>
    <row r="101" spans="1:16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40"/>
      <c r="P101" s="40"/>
    </row>
    <row r="102" spans="1:16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40"/>
      <c r="P102" s="40"/>
    </row>
    <row r="103" spans="1:16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40"/>
      <c r="P103" s="40"/>
    </row>
    <row r="104" spans="1:16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40"/>
      <c r="P104" s="40"/>
    </row>
    <row r="105" spans="1:14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</row>
    <row r="106" spans="1:14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</row>
    <row r="107" spans="1:14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</row>
    <row r="108" spans="1:14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</row>
    <row r="109" spans="1:14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</row>
    <row r="110" spans="1:14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</row>
  </sheetData>
  <sheetProtection/>
  <mergeCells count="38">
    <mergeCell ref="A52:N52"/>
    <mergeCell ref="A56:N56"/>
    <mergeCell ref="A78:N78"/>
    <mergeCell ref="A82:N82"/>
    <mergeCell ref="A60:N60"/>
    <mergeCell ref="A66:N66"/>
    <mergeCell ref="A70:N70"/>
    <mergeCell ref="A74:N74"/>
    <mergeCell ref="L10:L11"/>
    <mergeCell ref="A32:N32"/>
    <mergeCell ref="M10:M11"/>
    <mergeCell ref="G10:G11"/>
    <mergeCell ref="H10:H11"/>
    <mergeCell ref="I10:I11"/>
    <mergeCell ref="A10:A11"/>
    <mergeCell ref="B10:B11"/>
    <mergeCell ref="A12:N12"/>
    <mergeCell ref="A16:N16"/>
    <mergeCell ref="F89:H89"/>
    <mergeCell ref="I89:K89"/>
    <mergeCell ref="J10:J11"/>
    <mergeCell ref="K10:K11"/>
    <mergeCell ref="A36:N36"/>
    <mergeCell ref="A40:N40"/>
    <mergeCell ref="A44:N44"/>
    <mergeCell ref="A20:N20"/>
    <mergeCell ref="A24:N24"/>
    <mergeCell ref="A48:N48"/>
    <mergeCell ref="L89:N89"/>
    <mergeCell ref="J1:N1"/>
    <mergeCell ref="J2:N2"/>
    <mergeCell ref="J3:N3"/>
    <mergeCell ref="J4:N4"/>
    <mergeCell ref="N10:N11"/>
    <mergeCell ref="A7:N7"/>
    <mergeCell ref="A8:N8"/>
    <mergeCell ref="C10:E10"/>
    <mergeCell ref="F10:F11"/>
  </mergeCells>
  <printOptions/>
  <pageMargins left="0.31496062992125984" right="0.15748031496062992" top="0.7480314960629921" bottom="0.3937007874015748" header="0.1968503937007874" footer="0.1968503937007874"/>
  <pageSetup horizontalDpi="600" verticalDpi="600" orientation="landscape" paperSize="9" scale="86" r:id="rId1"/>
  <rowBreaks count="2" manualBreakCount="2">
    <brk id="31" max="255" man="1"/>
    <brk id="65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D6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75390625" style="0" customWidth="1"/>
    <col min="2" max="2" width="59.625" style="0" customWidth="1"/>
    <col min="3" max="3" width="20.625" style="147" customWidth="1"/>
  </cols>
  <sheetData>
    <row r="1" spans="1:3" ht="15.75" customHeight="1">
      <c r="A1" s="413" t="s">
        <v>209</v>
      </c>
      <c r="B1" s="413"/>
      <c r="C1" s="413"/>
    </row>
    <row r="2" spans="1:3" ht="15.75" customHeight="1">
      <c r="A2" s="413" t="s">
        <v>348</v>
      </c>
      <c r="B2" s="413"/>
      <c r="C2" s="413"/>
    </row>
    <row r="3" spans="1:3" ht="13.5" thickBot="1">
      <c r="A3" s="3"/>
      <c r="B3" s="4"/>
      <c r="C3" s="146" t="s">
        <v>104</v>
      </c>
    </row>
    <row r="4" spans="1:3" ht="25.5" customHeight="1" thickBot="1">
      <c r="A4" s="21" t="s">
        <v>124</v>
      </c>
      <c r="B4" s="22" t="s">
        <v>125</v>
      </c>
      <c r="C4" s="149" t="s">
        <v>343</v>
      </c>
    </row>
    <row r="5" spans="1:3" ht="12.75">
      <c r="A5" s="23">
        <v>1</v>
      </c>
      <c r="B5" s="24" t="s">
        <v>126</v>
      </c>
      <c r="C5" s="154">
        <f>C6+C10+C11</f>
        <v>12650</v>
      </c>
    </row>
    <row r="6" spans="1:3" ht="12.75">
      <c r="A6" s="25"/>
      <c r="B6" s="26" t="s">
        <v>127</v>
      </c>
      <c r="C6" s="151">
        <f>C10*15%+C11*15%</f>
        <v>1650</v>
      </c>
    </row>
    <row r="7" spans="1:3" ht="12.75">
      <c r="A7" s="25"/>
      <c r="B7" s="26" t="s">
        <v>128</v>
      </c>
      <c r="C7" s="150"/>
    </row>
    <row r="8" spans="1:3" ht="12.75">
      <c r="A8" s="27"/>
      <c r="B8" s="26" t="s">
        <v>129</v>
      </c>
      <c r="C8" s="150"/>
    </row>
    <row r="9" spans="1:3" ht="12.75">
      <c r="A9" s="27"/>
      <c r="B9" s="26" t="s">
        <v>130</v>
      </c>
      <c r="C9" s="150"/>
    </row>
    <row r="10" spans="1:3" ht="12.75">
      <c r="A10" s="27">
        <v>2</v>
      </c>
      <c r="B10" s="28" t="s">
        <v>131</v>
      </c>
      <c r="C10" s="155">
        <f>+'Рас.бал.'!C14</f>
        <v>11000</v>
      </c>
    </row>
    <row r="11" spans="1:3" ht="12.75">
      <c r="A11" s="27">
        <v>3</v>
      </c>
      <c r="B11" s="28" t="s">
        <v>37</v>
      </c>
      <c r="C11" s="156">
        <f>+'Рас.бал.'!C17</f>
        <v>0</v>
      </c>
    </row>
    <row r="12" spans="1:3" ht="12.75">
      <c r="A12" s="27" t="s">
        <v>132</v>
      </c>
      <c r="B12" s="28" t="s">
        <v>133</v>
      </c>
      <c r="C12" s="156">
        <f>+'Рас.бал.'!C20</f>
        <v>8036</v>
      </c>
    </row>
    <row r="13" spans="1:3" ht="12.75">
      <c r="A13" s="27"/>
      <c r="B13" s="26" t="s">
        <v>134</v>
      </c>
      <c r="C13" s="150">
        <f>+'Рас.бал.'!C28</f>
        <v>848</v>
      </c>
    </row>
    <row r="14" spans="1:3" ht="12.75">
      <c r="A14" s="27" t="s">
        <v>135</v>
      </c>
      <c r="B14" s="28" t="s">
        <v>136</v>
      </c>
      <c r="C14" s="156">
        <f>+'Рас.бал.'!C30</f>
        <v>2537.664</v>
      </c>
    </row>
    <row r="15" spans="1:3" ht="12.75">
      <c r="A15" s="27" t="s">
        <v>137</v>
      </c>
      <c r="B15" s="28" t="s">
        <v>204</v>
      </c>
      <c r="C15" s="156">
        <f>'Рас.бал.'!C46</f>
        <v>129</v>
      </c>
    </row>
    <row r="16" spans="1:3" ht="12.75">
      <c r="A16" s="27" t="s">
        <v>139</v>
      </c>
      <c r="B16" s="28" t="s">
        <v>138</v>
      </c>
      <c r="C16" s="156">
        <f>+'Рас.бал.'!C45</f>
        <v>80</v>
      </c>
    </row>
    <row r="17" spans="1:3" ht="12.75">
      <c r="A17" s="27" t="s">
        <v>140</v>
      </c>
      <c r="B17" s="28" t="s">
        <v>141</v>
      </c>
      <c r="C17" s="156">
        <f>+'Рас.бал.'!C47</f>
        <v>475.33599999999933</v>
      </c>
    </row>
    <row r="18" spans="1:4" ht="12.75">
      <c r="A18" s="27" t="s">
        <v>142</v>
      </c>
      <c r="B18" s="26" t="s">
        <v>143</v>
      </c>
      <c r="C18" s="150">
        <f>+C20-C17</f>
        <v>4.547473508864641E-13</v>
      </c>
      <c r="D18" s="19"/>
    </row>
    <row r="19" spans="1:3" ht="12.75">
      <c r="A19" s="27" t="s">
        <v>144</v>
      </c>
      <c r="B19" s="26" t="s">
        <v>145</v>
      </c>
      <c r="C19" s="150"/>
    </row>
    <row r="20" spans="1:3" ht="12.75">
      <c r="A20" s="27" t="s">
        <v>146</v>
      </c>
      <c r="B20" s="26" t="s">
        <v>147</v>
      </c>
      <c r="C20" s="150">
        <f>+'Рас.бал.'!C48</f>
        <v>475.3359999999998</v>
      </c>
    </row>
    <row r="21" spans="1:3" ht="12.75">
      <c r="A21" s="27" t="s">
        <v>148</v>
      </c>
      <c r="B21" s="26" t="s">
        <v>149</v>
      </c>
      <c r="C21" s="150">
        <f>+'Рас.бал.'!C49</f>
        <v>71.30039999999997</v>
      </c>
    </row>
    <row r="22" spans="1:3" ht="12.75">
      <c r="A22" s="27" t="s">
        <v>150</v>
      </c>
      <c r="B22" s="26" t="s">
        <v>202</v>
      </c>
      <c r="C22" s="150">
        <f>+'Рас.бал.'!C50</f>
        <v>1</v>
      </c>
    </row>
    <row r="23" spans="1:3" ht="12.75">
      <c r="A23" s="27" t="s">
        <v>151</v>
      </c>
      <c r="B23" s="28" t="s">
        <v>18</v>
      </c>
      <c r="C23" s="156">
        <f>+C17-C21-C22</f>
        <v>403.03559999999936</v>
      </c>
    </row>
    <row r="24" spans="1:3" ht="12.75">
      <c r="A24" s="27" t="s">
        <v>152</v>
      </c>
      <c r="B24" s="28" t="s">
        <v>153</v>
      </c>
      <c r="C24" s="152">
        <f>C25+C26</f>
        <v>403.03559999999936</v>
      </c>
    </row>
    <row r="25" spans="1:3" ht="12.75">
      <c r="A25" s="27"/>
      <c r="B25" s="26" t="s">
        <v>134</v>
      </c>
      <c r="C25" s="150"/>
    </row>
    <row r="26" spans="1:3" ht="12.75">
      <c r="A26" s="27"/>
      <c r="B26" s="26" t="s">
        <v>154</v>
      </c>
      <c r="C26" s="150">
        <f>+C23</f>
        <v>403.03559999999936</v>
      </c>
    </row>
    <row r="27" spans="1:3" ht="12.75">
      <c r="A27" s="27"/>
      <c r="B27" s="26" t="s">
        <v>155</v>
      </c>
      <c r="C27" s="150"/>
    </row>
    <row r="28" spans="1:3" ht="12.75">
      <c r="A28" s="27"/>
      <c r="B28" s="26" t="s">
        <v>156</v>
      </c>
      <c r="C28" s="150"/>
    </row>
    <row r="29" spans="1:3" ht="12.75">
      <c r="A29" s="25"/>
      <c r="B29" s="26" t="s">
        <v>157</v>
      </c>
      <c r="C29" s="150"/>
    </row>
    <row r="30" spans="1:3" ht="12.75">
      <c r="A30" s="25"/>
      <c r="B30" s="26" t="s">
        <v>158</v>
      </c>
      <c r="C30" s="150"/>
    </row>
    <row r="31" spans="1:3" ht="12.75">
      <c r="A31" s="27"/>
      <c r="B31" s="26" t="s">
        <v>159</v>
      </c>
      <c r="C31" s="150"/>
    </row>
    <row r="32" spans="1:3" ht="12.75">
      <c r="A32" s="25"/>
      <c r="B32" s="26" t="s">
        <v>160</v>
      </c>
      <c r="C32" s="150"/>
    </row>
    <row r="33" spans="1:3" ht="12.75">
      <c r="A33" s="25" t="s">
        <v>161</v>
      </c>
      <c r="B33" s="28" t="s">
        <v>162</v>
      </c>
      <c r="C33" s="152">
        <f>C37+C44+C41</f>
        <v>0</v>
      </c>
    </row>
    <row r="34" spans="1:3" ht="12.75">
      <c r="A34" s="25" t="s">
        <v>163</v>
      </c>
      <c r="B34" s="28" t="s">
        <v>164</v>
      </c>
      <c r="C34" s="150"/>
    </row>
    <row r="35" spans="1:3" ht="12.75">
      <c r="A35" s="25"/>
      <c r="B35" s="26" t="s">
        <v>165</v>
      </c>
      <c r="C35" s="150"/>
    </row>
    <row r="36" spans="1:3" ht="12.75">
      <c r="A36" s="25"/>
      <c r="B36" s="26" t="s">
        <v>166</v>
      </c>
      <c r="C36" s="150"/>
    </row>
    <row r="37" spans="1:3" ht="12.75">
      <c r="A37" s="25"/>
      <c r="B37" s="26" t="s">
        <v>167</v>
      </c>
      <c r="C37" s="150"/>
    </row>
    <row r="38" spans="1:3" ht="12.75">
      <c r="A38" s="27"/>
      <c r="B38" s="26" t="s">
        <v>168</v>
      </c>
      <c r="C38" s="150"/>
    </row>
    <row r="39" spans="1:3" ht="12.75">
      <c r="A39" s="25"/>
      <c r="B39" s="26" t="s">
        <v>169</v>
      </c>
      <c r="C39" s="150"/>
    </row>
    <row r="40" spans="1:3" ht="12.75">
      <c r="A40" s="25"/>
      <c r="B40" s="26" t="s">
        <v>170</v>
      </c>
      <c r="C40" s="150"/>
    </row>
    <row r="41" spans="1:4" ht="12.75">
      <c r="A41" s="25"/>
      <c r="B41" s="26" t="s">
        <v>277</v>
      </c>
      <c r="C41" s="257"/>
      <c r="D41" s="258"/>
    </row>
    <row r="42" spans="1:3" ht="12.75">
      <c r="A42" s="25"/>
      <c r="B42" s="26" t="s">
        <v>171</v>
      </c>
      <c r="C42" s="150"/>
    </row>
    <row r="43" spans="1:3" ht="12.75">
      <c r="A43" s="27"/>
      <c r="B43" s="26" t="s">
        <v>172</v>
      </c>
      <c r="C43" s="150"/>
    </row>
    <row r="44" spans="1:3" ht="12.75">
      <c r="A44" s="27" t="s">
        <v>173</v>
      </c>
      <c r="B44" s="28" t="s">
        <v>174</v>
      </c>
      <c r="C44" s="227"/>
    </row>
    <row r="45" spans="1:3" ht="12.75">
      <c r="A45" s="25"/>
      <c r="B45" s="26" t="s">
        <v>175</v>
      </c>
      <c r="C45" s="150"/>
    </row>
    <row r="46" spans="1:3" ht="12.75">
      <c r="A46" s="25"/>
      <c r="B46" s="26" t="s">
        <v>176</v>
      </c>
      <c r="C46" s="150"/>
    </row>
    <row r="47" spans="1:3" ht="12.75">
      <c r="A47" s="25" t="s">
        <v>177</v>
      </c>
      <c r="B47" s="28" t="s">
        <v>178</v>
      </c>
      <c r="C47" s="150"/>
    </row>
    <row r="48" spans="1:3" ht="12.75">
      <c r="A48" s="25"/>
      <c r="B48" s="26" t="s">
        <v>179</v>
      </c>
      <c r="C48" s="150"/>
    </row>
    <row r="49" spans="1:3" ht="12.75">
      <c r="A49" s="25"/>
      <c r="B49" s="26" t="s">
        <v>180</v>
      </c>
      <c r="C49" s="150"/>
    </row>
    <row r="50" spans="1:3" ht="12.75">
      <c r="A50" s="25"/>
      <c r="B50" s="26" t="s">
        <v>181</v>
      </c>
      <c r="C50" s="150"/>
    </row>
    <row r="51" spans="1:3" ht="12.75">
      <c r="A51" s="25" t="s">
        <v>182</v>
      </c>
      <c r="B51" s="28" t="s">
        <v>183</v>
      </c>
      <c r="C51" s="152">
        <f>+C33</f>
        <v>0</v>
      </c>
    </row>
    <row r="52" spans="1:3" ht="13.5" thickBot="1">
      <c r="A52" s="29" t="s">
        <v>184</v>
      </c>
      <c r="B52" s="30" t="s">
        <v>185</v>
      </c>
      <c r="C52" s="153">
        <f>C24-C51</f>
        <v>403.03559999999936</v>
      </c>
    </row>
    <row r="53" spans="1:2" ht="12.75">
      <c r="A53" s="31"/>
      <c r="B53" s="32"/>
    </row>
    <row r="54" spans="1:3" s="88" customFormat="1" ht="15">
      <c r="A54" s="89" t="s">
        <v>284</v>
      </c>
      <c r="B54" s="90"/>
      <c r="C54" s="148"/>
    </row>
    <row r="55" spans="1:3" s="88" customFormat="1" ht="15">
      <c r="A55" s="91" t="s">
        <v>195</v>
      </c>
      <c r="B55" s="90"/>
      <c r="C55" s="92" t="s">
        <v>324</v>
      </c>
    </row>
    <row r="56" spans="1:3" s="88" customFormat="1" ht="15">
      <c r="A56" s="91"/>
      <c r="B56" s="90"/>
      <c r="C56" s="91"/>
    </row>
    <row r="57" spans="1:4" s="88" customFormat="1" ht="15">
      <c r="A57" s="91" t="s">
        <v>312</v>
      </c>
      <c r="B57" s="90"/>
      <c r="C57" s="342" t="s">
        <v>319</v>
      </c>
      <c r="D57" s="66"/>
    </row>
    <row r="58" spans="1:4" s="88" customFormat="1" ht="15">
      <c r="A58" s="91"/>
      <c r="B58" s="90"/>
      <c r="C58" s="343"/>
      <c r="D58" s="193"/>
    </row>
    <row r="59" spans="1:4" s="88" customFormat="1" ht="15">
      <c r="A59" s="93" t="s">
        <v>285</v>
      </c>
      <c r="B59" s="90"/>
      <c r="C59" s="342" t="s">
        <v>320</v>
      </c>
      <c r="D59" s="193"/>
    </row>
    <row r="60" spans="1:3" ht="12.75">
      <c r="A60" s="33"/>
      <c r="B60" s="34"/>
      <c r="C60" s="34"/>
    </row>
    <row r="61" spans="1:3" ht="15.75">
      <c r="A61" s="33"/>
      <c r="B61" s="34"/>
      <c r="C61" s="114">
        <v>20</v>
      </c>
    </row>
    <row r="62" spans="1:2" ht="12.75">
      <c r="A62" s="19"/>
      <c r="B62" s="19"/>
    </row>
    <row r="63" spans="1:2" ht="12.75">
      <c r="A63" s="19"/>
      <c r="B63" s="19"/>
    </row>
    <row r="64" spans="1:2" ht="12.75">
      <c r="A64" s="19"/>
      <c r="B64" s="19"/>
    </row>
  </sheetData>
  <sheetProtection/>
  <mergeCells count="2">
    <mergeCell ref="A1:C1"/>
    <mergeCell ref="A2:C2"/>
  </mergeCells>
  <printOptions/>
  <pageMargins left="1.12" right="0.43" top="0.32" bottom="0.27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Zarduz</dc:creator>
  <cp:keywords/>
  <dc:description/>
  <cp:lastModifiedBy>12</cp:lastModifiedBy>
  <cp:lastPrinted>2022-11-21T05:48:14Z</cp:lastPrinted>
  <dcterms:created xsi:type="dcterms:W3CDTF">2007-01-09T10:48:04Z</dcterms:created>
  <dcterms:modified xsi:type="dcterms:W3CDTF">2022-11-21T05:49:41Z</dcterms:modified>
  <cp:category/>
  <cp:version/>
  <cp:contentType/>
  <cp:contentStatus/>
</cp:coreProperties>
</file>